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対戦表" sheetId="1" r:id="rId1"/>
    <sheet name="予選L　星取表" sheetId="4" r:id="rId2"/>
    <sheet name="学校名" sheetId="2" r:id="rId3"/>
    <sheet name="Sheet3" sheetId="3" r:id="rId4"/>
    <sheet name="Sheet1" sheetId="5" r:id="rId5"/>
  </sheets>
  <definedNames>
    <definedName name="_xlnm.Print_Area" localSheetId="2">学校名!$A$1:$D$36</definedName>
    <definedName name="_xlnm.Print_Area" localSheetId="0">対戦表!$A$1:$J$97</definedName>
    <definedName name="トーナメント表" localSheetId="3">Sheet3!$B$10:$AK$27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I8" i="4" l="1"/>
  <c r="P8" i="4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Q65" i="4" s="1"/>
  <c r="T64" i="4"/>
  <c r="S64" i="4"/>
  <c r="L64" i="4"/>
  <c r="I64" i="4"/>
  <c r="F64" i="4"/>
  <c r="Q64" i="4" s="1"/>
  <c r="K63" i="4"/>
  <c r="H63" i="4"/>
  <c r="E63" i="4"/>
  <c r="B63" i="4"/>
  <c r="T60" i="4"/>
  <c r="S60" i="4"/>
  <c r="I60" i="4"/>
  <c r="F60" i="4"/>
  <c r="Q60" i="4" s="1"/>
  <c r="C60" i="4"/>
  <c r="R60" i="4" s="1"/>
  <c r="T59" i="4"/>
  <c r="S59" i="4"/>
  <c r="L59" i="4"/>
  <c r="F59" i="4"/>
  <c r="C59" i="4"/>
  <c r="Q59" i="4" s="1"/>
  <c r="T58" i="4"/>
  <c r="S58" i="4"/>
  <c r="L58" i="4"/>
  <c r="I58" i="4"/>
  <c r="Q58" i="4" s="1"/>
  <c r="C58" i="4"/>
  <c r="R58" i="4" s="1"/>
  <c r="T57" i="4"/>
  <c r="S57" i="4"/>
  <c r="L57" i="4"/>
  <c r="I57" i="4"/>
  <c r="F57" i="4"/>
  <c r="Q57" i="4" s="1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Q51" i="4" s="1"/>
  <c r="T50" i="4"/>
  <c r="S50" i="4"/>
  <c r="L50" i="4"/>
  <c r="I50" i="4"/>
  <c r="F50" i="4"/>
  <c r="Q50" i="4" s="1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R44" i="4" s="1"/>
  <c r="T43" i="4"/>
  <c r="S43" i="4"/>
  <c r="L43" i="4"/>
  <c r="I43" i="4"/>
  <c r="Q43" i="4" s="1"/>
  <c r="F43" i="4"/>
  <c r="R43" i="4" s="1"/>
  <c r="K42" i="4"/>
  <c r="H42" i="4"/>
  <c r="E42" i="4"/>
  <c r="B42" i="4"/>
  <c r="T39" i="4"/>
  <c r="S39" i="4"/>
  <c r="I39" i="4"/>
  <c r="F39" i="4"/>
  <c r="Q39" i="4" s="1"/>
  <c r="C39" i="4"/>
  <c r="R39" i="4" s="1"/>
  <c r="T38" i="4"/>
  <c r="S38" i="4"/>
  <c r="L38" i="4"/>
  <c r="F38" i="4"/>
  <c r="C38" i="4"/>
  <c r="Q38" i="4" s="1"/>
  <c r="T37" i="4"/>
  <c r="S37" i="4"/>
  <c r="U37" i="4" s="1"/>
  <c r="L37" i="4"/>
  <c r="I37" i="4"/>
  <c r="C37" i="4"/>
  <c r="Q37" i="4" s="1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Q32" i="4" s="1"/>
  <c r="C32" i="4"/>
  <c r="R32" i="4" s="1"/>
  <c r="T31" i="4"/>
  <c r="S31" i="4"/>
  <c r="L31" i="4"/>
  <c r="F31" i="4"/>
  <c r="Q31" i="4" s="1"/>
  <c r="C31" i="4"/>
  <c r="R31" i="4" s="1"/>
  <c r="T30" i="4"/>
  <c r="S30" i="4"/>
  <c r="L30" i="4"/>
  <c r="I30" i="4"/>
  <c r="Q30" i="4" s="1"/>
  <c r="C30" i="4"/>
  <c r="R30" i="4" s="1"/>
  <c r="T29" i="4"/>
  <c r="S29" i="4"/>
  <c r="L29" i="4"/>
  <c r="I29" i="4"/>
  <c r="F29" i="4"/>
  <c r="Q29" i="4" s="1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U23" i="4" s="1"/>
  <c r="L23" i="4"/>
  <c r="I23" i="4"/>
  <c r="C23" i="4"/>
  <c r="Q23" i="4" s="1"/>
  <c r="T22" i="4"/>
  <c r="S22" i="4"/>
  <c r="L22" i="4"/>
  <c r="I22" i="4"/>
  <c r="Q22" i="4" s="1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F17" i="4"/>
  <c r="C17" i="4"/>
  <c r="Q17" i="4" s="1"/>
  <c r="T16" i="4"/>
  <c r="S16" i="4"/>
  <c r="I16" i="4"/>
  <c r="C16" i="4"/>
  <c r="Q16" i="4" s="1"/>
  <c r="T15" i="4"/>
  <c r="S15" i="4"/>
  <c r="U15" i="4" s="1"/>
  <c r="I15" i="4"/>
  <c r="F15" i="4"/>
  <c r="Q15" i="4" s="1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R9" i="4" s="1"/>
  <c r="T8" i="4"/>
  <c r="S8" i="4"/>
  <c r="F8" i="4"/>
  <c r="Q8" i="4" s="1"/>
  <c r="H7" i="4"/>
  <c r="E7" i="4"/>
  <c r="B7" i="4"/>
  <c r="U16" i="4" l="1"/>
  <c r="U51" i="4"/>
  <c r="U30" i="4"/>
  <c r="U17" i="4"/>
  <c r="U66" i="4"/>
  <c r="U67" i="4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O8" i="4"/>
  <c r="U9" i="4"/>
  <c r="P9" i="4"/>
  <c r="Q10" i="4"/>
  <c r="U10" i="4"/>
  <c r="Q9" i="4"/>
  <c r="P10" i="4"/>
  <c r="R10" i="4"/>
  <c r="P15" i="4"/>
  <c r="O15" i="4" s="1"/>
  <c r="R15" i="4"/>
  <c r="R16" i="4"/>
  <c r="P16" i="4"/>
  <c r="O16" i="4" s="1"/>
  <c r="R17" i="4"/>
  <c r="P17" i="4"/>
  <c r="O17" i="4" s="1"/>
  <c r="P23" i="4"/>
  <c r="O23" i="4" s="1"/>
  <c r="R23" i="4"/>
  <c r="P24" i="4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O32" i="4" s="1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24" i="4" l="1"/>
  <c r="O10" i="4"/>
  <c r="V10" i="4" s="1"/>
  <c r="O66" i="4"/>
  <c r="O67" i="4"/>
  <c r="V58" i="4"/>
  <c r="O52" i="4"/>
  <c r="O45" i="4"/>
  <c r="O36" i="4"/>
  <c r="O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<sst xmlns="http://schemas.openxmlformats.org/spreadsheetml/2006/main" count="713" uniqueCount="419">
  <si>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</si>
  <si>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</si>
  <si>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</si>
  <si>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</si>
  <si>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</si>
  <si>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</si>
  <si>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</si>
  <si>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</si>
  <si>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</si>
  <si>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</si>
  <si>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</si>
  <si>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</si>
  <si>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</si>
  <si>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</si>
  <si>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</si>
  <si>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</si>
  <si>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</si>
  <si>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</si>
  <si>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</si>
  <si>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</si>
  <si>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</si>
  <si>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</si>
  <si>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</si>
  <si>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</si>
  <si>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</si>
  <si>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</si>
  <si>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</si>
  <si>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</si>
  <si>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</si>
  <si>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</si>
  <si>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</si>
  <si>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</si>
  <si>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</si>
  <si>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</si>
  <si>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</si>
  <si>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</si>
  <si>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</si>
  <si>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</si>
  <si>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</si>
  <si>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</si>
  <si>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</si>
  <si>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</si>
  <si>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</si>
  <si>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</si>
  <si>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</si>
  <si>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</si>
  <si>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</si>
  <si>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</si>
  <si>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</si>
  <si>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</si>
  <si>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</si>
  <si>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</si>
  <si>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</si>
  <si>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</si>
  <si>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</si>
  <si>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</si>
  <si>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</si>
  <si>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</si>
  <si>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</si>
  <si>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</si>
  <si>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</si>
  <si>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</si>
  <si>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</si>
  <si>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</si>
  <si>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</si>
  <si>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</si>
  <si>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</si>
  <si>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</si>
  <si>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</si>
  <si>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</si>
  <si>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</si>
  <si>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</si>
  <si>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</si>
  <si>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</si>
  <si>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</si>
  <si>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</si>
  <si>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</si>
  <si>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</si>
  <si>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</si>
  <si>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</si>
  <si>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</si>
  <si>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</si>
  <si>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</si>
  <si>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</si>
  <si>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</si>
  <si>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</si>
  <si>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</si>
  <si>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</si>
  <si>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</si>
  <si>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</si>
  <si>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</si>
  <si>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</si>
  <si>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</si>
  <si>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</si>
  <si>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</si>
  <si>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</si>
  <si>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</si>
  <si>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</si>
  <si>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</si>
  <si>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</si>
  <si>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</si>
  <si>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</si>
  <si>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</si>
  <si>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</si>
  <si>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</si>
  <si>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</si>
  <si>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</si>
  <si>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</si>
  <si>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</si>
  <si>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</si>
  <si>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</si>
  <si>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</si>
  <si>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</si>
  <si>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</si>
  <si>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</si>
  <si>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</si>
  <si>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</si>
  <si>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</si>
  <si>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</si>
  <si>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</si>
  <si>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</si>
  <si>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</si>
  <si>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</si>
  <si>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</si>
  <si>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</si>
  <si>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</si>
  <si>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</si>
  <si>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</si>
  <si>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</si>
  <si>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</si>
  <si>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</si>
  <si>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</si>
  <si>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</si>
  <si>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</si>
  <si>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</si>
  <si>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</si>
  <si>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</si>
  <si>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</si>
  <si>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</si>
  <si>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</si>
  <si>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</si>
  <si>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</si>
  <si>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</si>
  <si>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</si>
  <si>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</si>
  <si>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</si>
  <si>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</si>
  <si>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</si>
  <si>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</si>
  <si>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</si>
  <si>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</si>
  <si>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</si>
  <si>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</si>
  <si>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</si>
  <si>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</si>
  <si>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</si>
  <si>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</si>
  <si>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</si>
  <si>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</si>
  <si>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駒場　　　　　スタジアム</t>
    <rPh sb="0" eb="2">
      <t>コマバ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</si>
  <si>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</si>
  <si>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</si>
  <si>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</si>
  <si>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</si>
  <si>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未定</t>
    <rPh sb="0" eb="2">
      <t>ミテイ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</si>
  <si>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</si>
  <si>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</si>
  <si>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</si>
  <si>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</si>
  <si>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</si>
  <si>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</si>
  <si>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</si>
  <si>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</si>
  <si>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</si>
  <si>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</si>
  <si>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</si>
  <si>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</si>
  <si>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</si>
  <si>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</si>
  <si>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</si>
  <si>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</si>
  <si>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</si>
  <si>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</si>
  <si>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</si>
  <si>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</si>
  <si>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</si>
  <si>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</si>
  <si>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</si>
  <si>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</si>
  <si>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</si>
  <si>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</si>
  <si>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</si>
  <si>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</si>
  <si>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</si>
  <si>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</si>
  <si>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</si>
  <si>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</si>
  <si>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</si>
  <si>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</si>
  <si>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</si>
  <si>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</si>
  <si>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</si>
  <si>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</si>
  <si>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</si>
  <si>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</si>
  <si>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</si>
  <si>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</si>
  <si>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</si>
  <si>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</si>
  <si>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</si>
  <si>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</si>
  <si>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</si>
  <si>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</si>
  <si>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</si>
  <si>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</si>
  <si>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</si>
  <si>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</si>
  <si>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</si>
  <si>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</si>
  <si>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</si>
  <si>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</si>
  <si>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</si>
  <si>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</si>
  <si>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</si>
  <si>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</si>
  <si>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</si>
  <si>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</si>
  <si>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</si>
  <si>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</si>
  <si>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</si>
  <si>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</si>
  <si>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</si>
  <si>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</si>
  <si>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</si>
  <si>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</si>
  <si>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</si>
  <si>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</si>
  <si>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</si>
  <si>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</si>
  <si>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</si>
  <si>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</si>
  <si>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</si>
  <si>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</si>
  <si>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</si>
  <si>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</si>
  <si>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</si>
  <si>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</si>
  <si>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</si>
  <si>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</si>
  <si>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</si>
  <si>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</si>
  <si>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</si>
  <si>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</si>
  <si>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</si>
  <si>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</si>
  <si>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</si>
  <si>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</si>
  <si>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</si>
  <si>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</si>
  <si>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</si>
  <si>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</si>
  <si>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</si>
  <si>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</si>
  <si>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</si>
  <si>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</si>
  <si>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</si>
  <si>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</si>
  <si>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</si>
  <si>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</si>
  <si>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</si>
  <si>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</si>
  <si>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</si>
  <si>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</si>
  <si>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</si>
  <si>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</si>
  <si>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</si>
  <si>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</si>
  <si>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</si>
  <si>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</si>
  <si>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</si>
  <si>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</si>
  <si>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</si>
  <si>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</si>
  <si>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</si>
  <si>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</si>
  <si>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</si>
  <si>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</si>
  <si>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</si>
  <si>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</si>
  <si>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</si>
  <si>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</si>
  <si>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</si>
  <si>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</si>
  <si>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</si>
  <si>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</si>
  <si>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</si>
  <si>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</si>
  <si>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</si>
  <si>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</si>
  <si>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</si>
  <si>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</si>
  <si>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</si>
  <si>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</si>
  <si>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</si>
  <si>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</si>
  <si>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</si>
  <si>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</si>
  <si>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</si>
  <si>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</si>
  <si>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</si>
  <si>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</si>
  <si>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</si>
  <si>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</si>
  <si>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</si>
  <si>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</si>
  <si>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</si>
  <si>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</si>
  <si>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>ａの負け</t>
    <rPh sb="2" eb="3">
      <t>マ</t>
    </rPh>
    <phoneticPr fontId="2"/>
  </si>
  <si>
    <t>ａの勝ち</t>
    <rPh sb="2" eb="3">
      <t>カ</t>
    </rPh>
    <phoneticPr fontId="2"/>
  </si>
  <si>
    <t>ｃの勝ち</t>
    <rPh sb="2" eb="3">
      <t>カ</t>
    </rPh>
    <phoneticPr fontId="2"/>
  </si>
  <si>
    <t>ｃの負け</t>
    <rPh sb="2" eb="3">
      <t>マ</t>
    </rPh>
    <phoneticPr fontId="2"/>
  </si>
  <si>
    <t>ｂの負け</t>
    <rPh sb="2" eb="3">
      <t>マ</t>
    </rPh>
    <phoneticPr fontId="2"/>
  </si>
  <si>
    <t>ｂの勝ち</t>
    <rPh sb="2" eb="3">
      <t>カ</t>
    </rPh>
    <phoneticPr fontId="2"/>
  </si>
  <si>
    <t>ｄの勝ち</t>
    <rPh sb="2" eb="3">
      <t>カ</t>
    </rPh>
    <phoneticPr fontId="2"/>
  </si>
  <si>
    <t>ｄの負け</t>
    <rPh sb="2" eb="3">
      <t>マ</t>
    </rPh>
    <phoneticPr fontId="2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</si>
  <si>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</si>
  <si>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</si>
  <si>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</si>
  <si>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</si>
  <si>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</si>
  <si>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</si>
  <si>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</si>
  <si>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</si>
  <si>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</si>
  <si>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</si>
  <si>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</si>
  <si>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</si>
  <si>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</si>
  <si>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</si>
  <si>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</si>
  <si>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</si>
  <si>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</si>
  <si>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</si>
  <si>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</si>
  <si>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</si>
  <si>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</si>
  <si>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</si>
  <si>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</si>
  <si>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</si>
  <si>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</si>
  <si>
    <t>4/29
(金)</t>
    <rPh sb="6" eb="7">
      <t>キン</t>
    </rPh>
    <phoneticPr fontId="1"/>
  </si>
  <si>
    <t>５/１
（日）
変更</t>
    <rPh sb="5" eb="6">
      <t>ニチ</t>
    </rPh>
    <rPh sb="8" eb="10">
      <t>ヘンコウ</t>
    </rPh>
    <phoneticPr fontId="1"/>
  </si>
  <si>
    <t>1-0(0-0,1-0)</t>
    <phoneticPr fontId="1"/>
  </si>
  <si>
    <t>1-0(0-0,1-0)</t>
    <phoneticPr fontId="1"/>
  </si>
  <si>
    <t>7-0(4-0,3-0)</t>
    <phoneticPr fontId="1"/>
  </si>
  <si>
    <t>0-0(0-0,0-0)</t>
    <phoneticPr fontId="1"/>
  </si>
  <si>
    <t>5-1(2-0,3-1)</t>
    <phoneticPr fontId="1"/>
  </si>
  <si>
    <t>0-0(0-0,0-0)</t>
    <phoneticPr fontId="1"/>
  </si>
  <si>
    <t>2-0(2-0,0-0)</t>
    <phoneticPr fontId="1"/>
  </si>
  <si>
    <t>2-1(1-0,1-1)</t>
    <phoneticPr fontId="1"/>
  </si>
  <si>
    <t>4-0(2-0,2-0)</t>
    <phoneticPr fontId="1"/>
  </si>
  <si>
    <t>8-0(4-0,4-0)</t>
    <phoneticPr fontId="1"/>
  </si>
  <si>
    <t>5-0(4-0,1-0)</t>
    <phoneticPr fontId="1"/>
  </si>
  <si>
    <t>0-2(0-1,0-1)</t>
    <phoneticPr fontId="1"/>
  </si>
  <si>
    <t>Ｃ１位入間向陽</t>
    <rPh sb="2" eb="3">
      <t>イ</t>
    </rPh>
    <rPh sb="3" eb="5">
      <t>イルマ</t>
    </rPh>
    <rPh sb="5" eb="7">
      <t>コウヨウ</t>
    </rPh>
    <phoneticPr fontId="1"/>
  </si>
  <si>
    <t>C２位和光国際</t>
    <rPh sb="2" eb="3">
      <t>イ</t>
    </rPh>
    <rPh sb="3" eb="5">
      <t>ワコウ</t>
    </rPh>
    <rPh sb="5" eb="7">
      <t>コクサイ</t>
    </rPh>
    <phoneticPr fontId="1"/>
  </si>
  <si>
    <t>Ｅ１位川口総合</t>
    <rPh sb="2" eb="3">
      <t>イ</t>
    </rPh>
    <rPh sb="3" eb="5">
      <t>カワグチ</t>
    </rPh>
    <rPh sb="5" eb="7">
      <t>ソウゴウ</t>
    </rPh>
    <phoneticPr fontId="1"/>
  </si>
  <si>
    <t>Ｅ２位南稜</t>
    <rPh sb="2" eb="3">
      <t>イ</t>
    </rPh>
    <rPh sb="3" eb="4">
      <t>ナン</t>
    </rPh>
    <rPh sb="4" eb="5">
      <t>リョウ</t>
    </rPh>
    <phoneticPr fontId="1"/>
  </si>
  <si>
    <t>Ｆ１位埼玉平成</t>
    <rPh sb="2" eb="3">
      <t>イ</t>
    </rPh>
    <rPh sb="3" eb="5">
      <t>サイタマ</t>
    </rPh>
    <rPh sb="5" eb="7">
      <t>ヘイセイ</t>
    </rPh>
    <phoneticPr fontId="1"/>
  </si>
  <si>
    <t>Ｈ１位浦和西</t>
    <rPh sb="2" eb="3">
      <t>イ</t>
    </rPh>
    <rPh sb="3" eb="5">
      <t>ウラワ</t>
    </rPh>
    <rPh sb="5" eb="6">
      <t>ニシ</t>
    </rPh>
    <phoneticPr fontId="1"/>
  </si>
  <si>
    <t>Ｈ２位熊谷女子</t>
    <rPh sb="2" eb="3">
      <t>イ</t>
    </rPh>
    <rPh sb="3" eb="5">
      <t>クマガヤ</t>
    </rPh>
    <rPh sb="5" eb="7">
      <t>ジョシ</t>
    </rPh>
    <phoneticPr fontId="1"/>
  </si>
  <si>
    <t>浦和西</t>
    <rPh sb="0" eb="2">
      <t>ウラワ</t>
    </rPh>
    <rPh sb="2" eb="3">
      <t>ニシ</t>
    </rPh>
    <phoneticPr fontId="1"/>
  </si>
  <si>
    <t>熊谷女子</t>
    <rPh sb="0" eb="2">
      <t>クマガヤ</t>
    </rPh>
    <rPh sb="2" eb="4">
      <t>ジョシ</t>
    </rPh>
    <phoneticPr fontId="1"/>
  </si>
  <si>
    <t>入間向陽</t>
    <rPh sb="0" eb="2">
      <t>イルマ</t>
    </rPh>
    <rPh sb="2" eb="4">
      <t>コウヨウ</t>
    </rPh>
    <phoneticPr fontId="1"/>
  </si>
  <si>
    <t>南　　稜</t>
    <rPh sb="0" eb="1">
      <t>ナン</t>
    </rPh>
    <rPh sb="3" eb="4">
      <t>リョウ</t>
    </rPh>
    <phoneticPr fontId="1"/>
  </si>
  <si>
    <t>和光国際</t>
    <rPh sb="0" eb="2">
      <t>ワコウ</t>
    </rPh>
    <rPh sb="2" eb="4">
      <t>コクサイ</t>
    </rPh>
    <phoneticPr fontId="1"/>
  </si>
  <si>
    <t>川口総合</t>
    <rPh sb="0" eb="2">
      <t>カワグチ</t>
    </rPh>
    <rPh sb="2" eb="4">
      <t>ソウゴウ</t>
    </rPh>
    <phoneticPr fontId="1"/>
  </si>
  <si>
    <t>埼玉平成</t>
    <rPh sb="0" eb="2">
      <t>サイタマ</t>
    </rPh>
    <rPh sb="2" eb="4">
      <t>ヘイセイ</t>
    </rPh>
    <phoneticPr fontId="1"/>
  </si>
  <si>
    <t>Ｂ１位花咲徳栄</t>
    <rPh sb="2" eb="3">
      <t>イ</t>
    </rPh>
    <rPh sb="3" eb="7">
      <t>ハナサキトクハル</t>
    </rPh>
    <phoneticPr fontId="1"/>
  </si>
  <si>
    <t>花咲徳栄</t>
    <rPh sb="0" eb="4">
      <t>ハナサキトクハル</t>
    </rPh>
    <phoneticPr fontId="1"/>
  </si>
  <si>
    <t>本庄第一</t>
    <rPh sb="0" eb="2">
      <t>ホンジョウ</t>
    </rPh>
    <rPh sb="2" eb="4">
      <t>ダイイチ</t>
    </rPh>
    <phoneticPr fontId="1"/>
  </si>
  <si>
    <t>越ヶ谷</t>
    <rPh sb="0" eb="3">
      <t>コシガヤ</t>
    </rPh>
    <phoneticPr fontId="1"/>
  </si>
  <si>
    <t>Ｄ１位本庄第一</t>
    <rPh sb="2" eb="3">
      <t>イ</t>
    </rPh>
    <rPh sb="3" eb="5">
      <t>ホンジョウ</t>
    </rPh>
    <rPh sb="5" eb="7">
      <t>ダイイチ</t>
    </rPh>
    <phoneticPr fontId="1"/>
  </si>
  <si>
    <t>Ｄ２位越ヶ谷</t>
    <rPh sb="2" eb="3">
      <t>イ</t>
    </rPh>
    <rPh sb="3" eb="6">
      <t>コシガヤ</t>
    </rPh>
    <phoneticPr fontId="1"/>
  </si>
  <si>
    <t>I1</t>
    <phoneticPr fontId="1"/>
  </si>
  <si>
    <t>12-0(6-0,6-0)</t>
    <phoneticPr fontId="1"/>
  </si>
  <si>
    <t>5-0(2-0,3-0)</t>
    <phoneticPr fontId="1"/>
  </si>
  <si>
    <t>昌　　平</t>
    <rPh sb="0" eb="1">
      <t>アキラ</t>
    </rPh>
    <rPh sb="3" eb="4">
      <t>ヒラ</t>
    </rPh>
    <phoneticPr fontId="1"/>
  </si>
  <si>
    <t>浦和実業</t>
    <rPh sb="0" eb="2">
      <t>ウラワ</t>
    </rPh>
    <rPh sb="2" eb="4">
      <t>ジツギョウ</t>
    </rPh>
    <phoneticPr fontId="1"/>
  </si>
  <si>
    <t>1-4(0-3,1-1)</t>
    <phoneticPr fontId="1"/>
  </si>
  <si>
    <t>川越南</t>
    <rPh sb="0" eb="2">
      <t>カワゴエ</t>
    </rPh>
    <rPh sb="2" eb="3">
      <t>ミナミ</t>
    </rPh>
    <phoneticPr fontId="1"/>
  </si>
  <si>
    <t>Ｂ２位川越南</t>
    <rPh sb="2" eb="3">
      <t>イ</t>
    </rPh>
    <rPh sb="3" eb="5">
      <t>カワゴエ</t>
    </rPh>
    <rPh sb="5" eb="6">
      <t>ミナミ</t>
    </rPh>
    <phoneticPr fontId="1"/>
  </si>
  <si>
    <t>Ｉ１位昌平</t>
    <rPh sb="2" eb="3">
      <t>イ</t>
    </rPh>
    <rPh sb="3" eb="5">
      <t>ショウヘイ</t>
    </rPh>
    <phoneticPr fontId="1"/>
  </si>
  <si>
    <t>Ｉ２位浦和実業</t>
    <rPh sb="2" eb="3">
      <t>イ</t>
    </rPh>
    <rPh sb="3" eb="5">
      <t>ウラワ</t>
    </rPh>
    <rPh sb="5" eb="7">
      <t>ジツギョウ</t>
    </rPh>
    <phoneticPr fontId="1"/>
  </si>
  <si>
    <t>3-0(2-0,1-0)</t>
    <phoneticPr fontId="1"/>
  </si>
  <si>
    <t>1-0(0-0,1-0)</t>
    <phoneticPr fontId="1"/>
  </si>
  <si>
    <t>18-0(9-0,9-0)</t>
    <phoneticPr fontId="1"/>
  </si>
  <si>
    <t>Ｆ２位合同チーム</t>
    <rPh sb="2" eb="3">
      <t>イ</t>
    </rPh>
    <rPh sb="3" eb="5">
      <t>ゴウドウ</t>
    </rPh>
    <phoneticPr fontId="1"/>
  </si>
  <si>
    <t>Ｇ１位山村学園</t>
    <rPh sb="2" eb="3">
      <t>イ</t>
    </rPh>
    <rPh sb="3" eb="5">
      <t>ヤマムラ</t>
    </rPh>
    <rPh sb="5" eb="7">
      <t>ガクエン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</si>
  <si>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</si>
  <si>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Ａ１位久喜</t>
    <rPh sb="2" eb="3">
      <t>イ</t>
    </rPh>
    <rPh sb="3" eb="5">
      <t>クキ</t>
    </rPh>
    <phoneticPr fontId="1"/>
  </si>
  <si>
    <t>Ａ２位本庄</t>
    <rPh sb="2" eb="3">
      <t>イ</t>
    </rPh>
    <rPh sb="3" eb="5">
      <t>ホンジョウ</t>
    </rPh>
    <phoneticPr fontId="1"/>
  </si>
  <si>
    <t>合同チーム</t>
    <rPh sb="0" eb="2">
      <t>ゴウドウ</t>
    </rPh>
    <phoneticPr fontId="1"/>
  </si>
  <si>
    <t>松山女子</t>
    <rPh sb="0" eb="2">
      <t>マツヤマ</t>
    </rPh>
    <rPh sb="2" eb="4">
      <t>ジョシ</t>
    </rPh>
    <phoneticPr fontId="1"/>
  </si>
  <si>
    <t>久　　喜</t>
    <rPh sb="0" eb="1">
      <t>ヒサシ</t>
    </rPh>
    <rPh sb="3" eb="4">
      <t>ヨシ</t>
    </rPh>
    <phoneticPr fontId="1"/>
  </si>
  <si>
    <t>山村学園</t>
    <rPh sb="0" eb="2">
      <t>ヤマムラ</t>
    </rPh>
    <rPh sb="2" eb="4">
      <t>ガクエン</t>
    </rPh>
    <phoneticPr fontId="1"/>
  </si>
  <si>
    <t>本　　庄</t>
    <rPh sb="0" eb="1">
      <t>ホン</t>
    </rPh>
    <rPh sb="3" eb="4">
      <t>ショウ</t>
    </rPh>
    <phoneticPr fontId="1"/>
  </si>
  <si>
    <t>3-0(1-0,2-0)</t>
    <phoneticPr fontId="1"/>
  </si>
  <si>
    <t>1-2(1-2,0-0)</t>
    <phoneticPr fontId="1"/>
  </si>
  <si>
    <t xml:space="preserve">１１：３０ ～ </t>
    <phoneticPr fontId="1"/>
  </si>
  <si>
    <t>　９：３０～</t>
    <phoneticPr fontId="1"/>
  </si>
  <si>
    <t>１０：００ ～ １１：２０</t>
  </si>
  <si>
    <t>１１：３０ ～ １２：５０</t>
  </si>
  <si>
    <t>１３：００ ～ １４：２０</t>
  </si>
  <si>
    <t>１４：３０ ～ １５：５０</t>
  </si>
  <si>
    <t>準決勝</t>
    <rPh sb="0" eb="3">
      <t>ジュンケッショウケッショウ</t>
    </rPh>
    <phoneticPr fontId="1"/>
  </si>
  <si>
    <t>順位戦</t>
    <rPh sb="0" eb="2">
      <t>ジュンイ</t>
    </rPh>
    <rPh sb="2" eb="3">
      <t>セン</t>
    </rPh>
    <phoneticPr fontId="1"/>
  </si>
  <si>
    <t>1-0(0-0,1-0)</t>
    <phoneticPr fontId="1"/>
  </si>
  <si>
    <t>0-1(0-1,0-0)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</si>
</sst>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0" fontId="12" fillId="0" borderId="110" xfId="0" quotePrefix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9" fillId="0" borderId="102" xfId="0" applyFont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111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10" fillId="0" borderId="6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914400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19050</xdr:rowOff>
    </xdr:from>
    <xdr:to>
      <xdr:col>9</xdr:col>
      <xdr:colOff>504825</xdr:colOff>
      <xdr:row>70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61</xdr:row>
      <xdr:rowOff>76200</xdr:rowOff>
    </xdr:from>
    <xdr:to>
      <xdr:col>8</xdr:col>
      <xdr:colOff>990600</xdr:colOff>
      <xdr:row>71</xdr:row>
      <xdr:rowOff>238125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954125"/>
          <a:ext cx="7762875" cy="328612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topLeftCell="A69" zoomScaleNormal="100" workbookViewId="0">
      <selection activeCell="G77" sqref="G77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>
      <c r="A1" s="299" t="s">
        <v>285</v>
      </c>
      <c r="B1" s="299"/>
      <c r="C1" s="299"/>
      <c r="D1" s="299"/>
      <c r="E1" s="299"/>
      <c r="F1" s="299"/>
      <c r="G1" s="299"/>
      <c r="H1" s="299"/>
      <c r="I1" s="299"/>
      <c r="J1" s="1"/>
      <c r="K1" s="1"/>
      <c r="L1" s="1"/>
      <c r="M1" s="1"/>
    </row>
    <row r="2" spans="1:13" ht="10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>
      <c r="A3" s="19" t="s">
        <v>48</v>
      </c>
      <c r="B3" s="291" t="s">
        <v>49</v>
      </c>
      <c r="C3" s="300"/>
      <c r="D3" s="14" t="s">
        <v>87</v>
      </c>
      <c r="E3" s="14" t="s">
        <v>88</v>
      </c>
      <c r="F3" s="14" t="s">
        <v>89</v>
      </c>
      <c r="G3" s="13" t="s">
        <v>90</v>
      </c>
      <c r="H3" s="14" t="s">
        <v>91</v>
      </c>
      <c r="I3" s="40" t="s">
        <v>92</v>
      </c>
      <c r="J3" s="23" t="s">
        <v>140</v>
      </c>
    </row>
    <row r="4" spans="1:13" ht="20.25" customHeight="1">
      <c r="A4" s="243" t="s">
        <v>251</v>
      </c>
      <c r="B4" s="289" t="s">
        <v>306</v>
      </c>
      <c r="C4" s="289" t="e">
        <v>#N/A</v>
      </c>
      <c r="D4" s="237" t="s">
        <v>255</v>
      </c>
      <c r="E4" s="237" t="s">
        <v>259</v>
      </c>
      <c r="F4" s="237" t="s">
        <v>263</v>
      </c>
      <c r="G4" s="237" t="s">
        <v>267</v>
      </c>
      <c r="H4" s="237" t="s">
        <v>272</v>
      </c>
      <c r="I4" s="239" t="s">
        <v>276</v>
      </c>
      <c r="J4" s="241" t="s">
        <v>280</v>
      </c>
    </row>
    <row r="5" spans="1:13" ht="20.25" customHeight="1">
      <c r="A5" s="17" t="s">
        <v>252</v>
      </c>
      <c r="B5" s="280" t="s">
        <v>307</v>
      </c>
      <c r="C5" s="280" t="e">
        <v>#N/A</v>
      </c>
      <c r="D5" s="6" t="s">
        <v>256</v>
      </c>
      <c r="E5" s="6" t="s">
        <v>260</v>
      </c>
      <c r="F5" s="237" t="s">
        <v>264</v>
      </c>
      <c r="G5" s="6" t="s">
        <v>268</v>
      </c>
      <c r="H5" s="237" t="s">
        <v>273</v>
      </c>
      <c r="I5" s="44" t="s">
        <v>277</v>
      </c>
      <c r="J5" s="240" t="s">
        <v>281</v>
      </c>
    </row>
    <row r="6" spans="1:13" ht="20.25" customHeight="1">
      <c r="A6" s="17" t="s">
        <v>253</v>
      </c>
      <c r="B6" s="289" t="s">
        <v>308</v>
      </c>
      <c r="C6" s="289" t="e">
        <v>#N/A</v>
      </c>
      <c r="D6" s="6" t="s">
        <v>257</v>
      </c>
      <c r="E6" s="237" t="s">
        <v>261</v>
      </c>
      <c r="F6" s="6" t="s">
        <v>265</v>
      </c>
      <c r="G6" s="237" t="s">
        <v>269</v>
      </c>
      <c r="H6" s="6" t="s">
        <v>274</v>
      </c>
      <c r="I6" s="239" t="s">
        <v>278</v>
      </c>
      <c r="J6" s="42" t="s">
        <v>282</v>
      </c>
    </row>
    <row r="7" spans="1:13" ht="20.25" customHeight="1" thickBot="1">
      <c r="A7" s="46" t="s">
        <v>325</v>
      </c>
      <c r="B7" s="288" t="s">
        <v>325</v>
      </c>
      <c r="C7" s="288" t="e">
        <v>#N/A</v>
      </c>
      <c r="D7" s="238" t="s">
        <v>258</v>
      </c>
      <c r="E7" s="31" t="s">
        <v>262</v>
      </c>
      <c r="F7" s="31" t="s">
        <v>266</v>
      </c>
      <c r="G7" s="31" t="s">
        <v>270</v>
      </c>
      <c r="H7" s="31" t="s">
        <v>275</v>
      </c>
      <c r="I7" s="45" t="s">
        <v>279</v>
      </c>
      <c r="J7" s="43" t="s">
        <v>283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12" t="s">
        <v>99</v>
      </c>
      <c r="B9" s="13" t="s">
        <v>98</v>
      </c>
      <c r="C9" s="14" t="s">
        <v>50</v>
      </c>
      <c r="D9" s="294" t="s">
        <v>97</v>
      </c>
      <c r="E9" s="295"/>
      <c r="F9" s="248" t="s">
        <v>96</v>
      </c>
      <c r="G9" s="249"/>
      <c r="H9" s="250"/>
      <c r="I9" s="12" t="s">
        <v>11</v>
      </c>
      <c r="J9" s="78"/>
      <c r="K9" s="1"/>
      <c r="L9" s="1"/>
      <c r="M9" s="1"/>
    </row>
    <row r="10" spans="1:13" ht="18.600000000000001" customHeight="1">
      <c r="A10" s="270" t="s">
        <v>149</v>
      </c>
      <c r="B10" s="301" t="s">
        <v>147</v>
      </c>
      <c r="C10" s="80" t="s">
        <v>114</v>
      </c>
      <c r="D10" s="293" t="s">
        <v>286</v>
      </c>
      <c r="E10" s="278"/>
      <c r="F10" s="115" t="s">
        <v>278</v>
      </c>
      <c r="G10" s="107" t="s">
        <v>326</v>
      </c>
      <c r="H10" s="81" t="s">
        <v>279</v>
      </c>
      <c r="I10" s="82" t="s">
        <v>255</v>
      </c>
      <c r="J10" s="78"/>
    </row>
    <row r="11" spans="1:13" ht="18.600000000000001" customHeight="1">
      <c r="A11" s="304"/>
      <c r="B11" s="257"/>
      <c r="C11" s="67" t="s">
        <v>52</v>
      </c>
      <c r="D11" s="251" t="s">
        <v>287</v>
      </c>
      <c r="E11" s="252"/>
      <c r="F11" s="116" t="s">
        <v>251</v>
      </c>
      <c r="G11" s="108" t="s">
        <v>327</v>
      </c>
      <c r="H11" s="83" t="s">
        <v>252</v>
      </c>
      <c r="I11" s="85" t="s">
        <v>270</v>
      </c>
      <c r="J11" s="78"/>
    </row>
    <row r="12" spans="1:13" ht="18.600000000000001" customHeight="1">
      <c r="A12" s="304"/>
      <c r="B12" s="257"/>
      <c r="C12" s="86" t="s">
        <v>144</v>
      </c>
      <c r="D12" s="251" t="s">
        <v>288</v>
      </c>
      <c r="E12" s="252"/>
      <c r="F12" s="116" t="s">
        <v>255</v>
      </c>
      <c r="G12" s="108" t="s">
        <v>328</v>
      </c>
      <c r="H12" s="83" t="s">
        <v>257</v>
      </c>
      <c r="I12" s="85" t="s">
        <v>278</v>
      </c>
      <c r="J12" s="78"/>
    </row>
    <row r="13" spans="1:13" ht="18.600000000000001" customHeight="1" thickBot="1">
      <c r="A13" s="304"/>
      <c r="B13" s="258"/>
      <c r="C13" s="87" t="s">
        <v>145</v>
      </c>
      <c r="D13" s="286" t="s">
        <v>289</v>
      </c>
      <c r="E13" s="287"/>
      <c r="F13" s="122" t="s">
        <v>268</v>
      </c>
      <c r="G13" s="109" t="s">
        <v>329</v>
      </c>
      <c r="H13" s="124" t="s">
        <v>270</v>
      </c>
      <c r="I13" s="89" t="s">
        <v>252</v>
      </c>
      <c r="J13" s="78"/>
    </row>
    <row r="14" spans="1:13" ht="18.600000000000001" customHeight="1" thickTop="1">
      <c r="A14" s="304"/>
      <c r="B14" s="269" t="s">
        <v>24</v>
      </c>
      <c r="C14" s="90" t="s">
        <v>116</v>
      </c>
      <c r="D14" s="260" t="s">
        <v>286</v>
      </c>
      <c r="E14" s="261"/>
      <c r="F14" s="117" t="s">
        <v>263</v>
      </c>
      <c r="G14" s="110" t="s">
        <v>330</v>
      </c>
      <c r="H14" s="91" t="s">
        <v>266</v>
      </c>
      <c r="I14" s="92" t="s">
        <v>269</v>
      </c>
      <c r="J14" s="78"/>
    </row>
    <row r="15" spans="1:13" ht="18.600000000000001" customHeight="1">
      <c r="A15" s="304"/>
      <c r="B15" s="257"/>
      <c r="C15" s="67" t="s">
        <v>117</v>
      </c>
      <c r="D15" s="251" t="s">
        <v>287</v>
      </c>
      <c r="E15" s="252"/>
      <c r="F15" s="116" t="s">
        <v>261</v>
      </c>
      <c r="G15" s="108" t="s">
        <v>331</v>
      </c>
      <c r="H15" s="83" t="s">
        <v>262</v>
      </c>
      <c r="I15" s="85" t="s">
        <v>276</v>
      </c>
      <c r="J15" s="78"/>
    </row>
    <row r="16" spans="1:13" ht="18.600000000000001" customHeight="1">
      <c r="A16" s="304"/>
      <c r="B16" s="257"/>
      <c r="C16" s="67" t="s">
        <v>126</v>
      </c>
      <c r="D16" s="251" t="s">
        <v>288</v>
      </c>
      <c r="E16" s="252"/>
      <c r="F16" s="116" t="s">
        <v>267</v>
      </c>
      <c r="G16" s="108" t="s">
        <v>332</v>
      </c>
      <c r="H16" s="83" t="s">
        <v>269</v>
      </c>
      <c r="I16" s="85" t="s">
        <v>263</v>
      </c>
      <c r="J16" s="78"/>
    </row>
    <row r="17" spans="1:10" ht="18.600000000000001" customHeight="1" thickBot="1">
      <c r="A17" s="304"/>
      <c r="B17" s="258"/>
      <c r="C17" s="93" t="s">
        <v>127</v>
      </c>
      <c r="D17" s="266" t="s">
        <v>289</v>
      </c>
      <c r="E17" s="267"/>
      <c r="F17" s="118" t="s">
        <v>276</v>
      </c>
      <c r="G17" s="111" t="s">
        <v>333</v>
      </c>
      <c r="H17" s="94" t="s">
        <v>277</v>
      </c>
      <c r="I17" s="89" t="s">
        <v>262</v>
      </c>
      <c r="J17" s="78"/>
    </row>
    <row r="18" spans="1:10" ht="18.600000000000001" customHeight="1" thickTop="1">
      <c r="A18" s="304"/>
      <c r="B18" s="257" t="s">
        <v>113</v>
      </c>
      <c r="C18" s="95" t="s">
        <v>53</v>
      </c>
      <c r="D18" s="280" t="s">
        <v>290</v>
      </c>
      <c r="E18" s="265"/>
      <c r="F18" s="121" t="s">
        <v>281</v>
      </c>
      <c r="G18" s="112" t="s">
        <v>334</v>
      </c>
      <c r="H18" s="123" t="s">
        <v>283</v>
      </c>
      <c r="I18" s="92" t="s">
        <v>272</v>
      </c>
      <c r="J18" s="78"/>
    </row>
    <row r="19" spans="1:10" ht="18.600000000000001" customHeight="1">
      <c r="A19" s="304"/>
      <c r="B19" s="257"/>
      <c r="C19" s="95" t="s">
        <v>52</v>
      </c>
      <c r="D19" s="251" t="s">
        <v>291</v>
      </c>
      <c r="E19" s="252"/>
      <c r="F19" s="119" t="s">
        <v>264</v>
      </c>
      <c r="G19" s="112" t="s">
        <v>335</v>
      </c>
      <c r="H19" s="96" t="s">
        <v>265</v>
      </c>
      <c r="I19" s="85" t="s">
        <v>256</v>
      </c>
      <c r="J19" s="78"/>
    </row>
    <row r="20" spans="1:10" ht="18.600000000000001" customHeight="1">
      <c r="A20" s="304"/>
      <c r="B20" s="257"/>
      <c r="C20" s="95" t="s">
        <v>57</v>
      </c>
      <c r="D20" s="251" t="s">
        <v>292</v>
      </c>
      <c r="E20" s="252"/>
      <c r="F20" s="119" t="s">
        <v>272</v>
      </c>
      <c r="G20" s="112" t="s">
        <v>331</v>
      </c>
      <c r="H20" s="96" t="s">
        <v>274</v>
      </c>
      <c r="I20" s="85" t="s">
        <v>281</v>
      </c>
      <c r="J20" s="78"/>
    </row>
    <row r="21" spans="1:10" ht="18.600000000000001" customHeight="1" thickBot="1">
      <c r="A21" s="305"/>
      <c r="B21" s="259"/>
      <c r="C21" s="98" t="s">
        <v>146</v>
      </c>
      <c r="D21" s="285" t="s">
        <v>293</v>
      </c>
      <c r="E21" s="262"/>
      <c r="F21" s="99" t="s">
        <v>256</v>
      </c>
      <c r="G21" s="106" t="s">
        <v>336</v>
      </c>
      <c r="H21" s="120" t="s">
        <v>258</v>
      </c>
      <c r="I21" s="100" t="s">
        <v>265</v>
      </c>
      <c r="J21" s="78"/>
    </row>
    <row r="22" spans="1:10" ht="18.600000000000001" customHeight="1">
      <c r="A22" s="296" t="s">
        <v>150</v>
      </c>
      <c r="B22" s="257" t="s">
        <v>36</v>
      </c>
      <c r="C22" s="101" t="s">
        <v>121</v>
      </c>
      <c r="D22" s="280" t="s">
        <v>286</v>
      </c>
      <c r="E22" s="265"/>
      <c r="F22" s="97" t="s">
        <v>260</v>
      </c>
      <c r="G22" s="112" t="s">
        <v>408</v>
      </c>
      <c r="H22" s="126" t="s">
        <v>262</v>
      </c>
      <c r="I22" s="82" t="s">
        <v>264</v>
      </c>
      <c r="J22" s="78"/>
    </row>
    <row r="23" spans="1:10" ht="18.600000000000001" customHeight="1">
      <c r="A23" s="297"/>
      <c r="B23" s="257"/>
      <c r="C23" s="67" t="s">
        <v>122</v>
      </c>
      <c r="D23" s="251" t="s">
        <v>294</v>
      </c>
      <c r="E23" s="252"/>
      <c r="F23" s="119" t="s">
        <v>255</v>
      </c>
      <c r="G23" s="112" t="s">
        <v>339</v>
      </c>
      <c r="H23" s="96" t="s">
        <v>256</v>
      </c>
      <c r="I23" s="85" t="s">
        <v>283</v>
      </c>
      <c r="J23" s="78"/>
    </row>
    <row r="24" spans="1:10" ht="18.600000000000001" customHeight="1">
      <c r="A24" s="297"/>
      <c r="B24" s="257"/>
      <c r="C24" s="86" t="s">
        <v>131</v>
      </c>
      <c r="D24" s="251" t="s">
        <v>295</v>
      </c>
      <c r="E24" s="252"/>
      <c r="F24" s="119" t="s">
        <v>264</v>
      </c>
      <c r="G24" s="112" t="s">
        <v>340</v>
      </c>
      <c r="H24" s="96" t="s">
        <v>266</v>
      </c>
      <c r="I24" s="85" t="s">
        <v>262</v>
      </c>
      <c r="J24" s="78"/>
    </row>
    <row r="25" spans="1:10" ht="18.600000000000001" customHeight="1" thickBot="1">
      <c r="A25" s="297"/>
      <c r="B25" s="257"/>
      <c r="C25" s="86" t="s">
        <v>132</v>
      </c>
      <c r="D25" s="286" t="s">
        <v>296</v>
      </c>
      <c r="E25" s="287"/>
      <c r="F25" s="102" t="s">
        <v>282</v>
      </c>
      <c r="G25" s="113" t="s">
        <v>341</v>
      </c>
      <c r="H25" s="127" t="s">
        <v>283</v>
      </c>
      <c r="I25" s="89" t="s">
        <v>256</v>
      </c>
      <c r="J25" s="78"/>
    </row>
    <row r="26" spans="1:10" ht="18.600000000000001" customHeight="1" thickTop="1">
      <c r="A26" s="297"/>
      <c r="B26" s="302" t="s">
        <v>5</v>
      </c>
      <c r="C26" s="90" t="s">
        <v>54</v>
      </c>
      <c r="D26" s="260" t="s">
        <v>297</v>
      </c>
      <c r="E26" s="261"/>
      <c r="F26" s="117" t="s">
        <v>267</v>
      </c>
      <c r="G26" s="110" t="s">
        <v>348</v>
      </c>
      <c r="H26" s="91" t="s">
        <v>270</v>
      </c>
      <c r="I26" s="92" t="s">
        <v>265</v>
      </c>
      <c r="J26" s="78"/>
    </row>
    <row r="27" spans="1:10" ht="18.600000000000001" customHeight="1">
      <c r="A27" s="297"/>
      <c r="B27" s="290"/>
      <c r="C27" s="86" t="s">
        <v>52</v>
      </c>
      <c r="D27" s="251" t="s">
        <v>287</v>
      </c>
      <c r="E27" s="252"/>
      <c r="F27" s="116" t="s">
        <v>276</v>
      </c>
      <c r="G27" s="108" t="s">
        <v>349</v>
      </c>
      <c r="H27" s="83" t="s">
        <v>279</v>
      </c>
      <c r="I27" s="85" t="s">
        <v>275</v>
      </c>
      <c r="J27" s="78"/>
    </row>
    <row r="28" spans="1:10" ht="18.600000000000001" customHeight="1">
      <c r="A28" s="297"/>
      <c r="B28" s="290"/>
      <c r="C28" s="86" t="s">
        <v>57</v>
      </c>
      <c r="D28" s="251" t="s">
        <v>67</v>
      </c>
      <c r="E28" s="252"/>
      <c r="F28" s="116" t="s">
        <v>263</v>
      </c>
      <c r="G28" s="108" t="s">
        <v>342</v>
      </c>
      <c r="H28" s="83" t="s">
        <v>265</v>
      </c>
      <c r="I28" s="85" t="s">
        <v>276</v>
      </c>
      <c r="J28" s="78"/>
    </row>
    <row r="29" spans="1:10" ht="18.600000000000001" customHeight="1" thickBot="1">
      <c r="A29" s="297"/>
      <c r="B29" s="303"/>
      <c r="C29" s="87" t="s">
        <v>70</v>
      </c>
      <c r="D29" s="266" t="s">
        <v>298</v>
      </c>
      <c r="E29" s="267"/>
      <c r="F29" s="88" t="s">
        <v>274</v>
      </c>
      <c r="G29" s="109" t="s">
        <v>343</v>
      </c>
      <c r="H29" s="125" t="s">
        <v>275</v>
      </c>
      <c r="I29" s="89" t="s">
        <v>279</v>
      </c>
      <c r="J29" s="78"/>
    </row>
    <row r="30" spans="1:10" ht="18.600000000000001" customHeight="1" thickTop="1">
      <c r="A30" s="297"/>
      <c r="B30" s="290" t="s">
        <v>161</v>
      </c>
      <c r="C30" s="95" t="s">
        <v>94</v>
      </c>
      <c r="D30" s="280" t="s">
        <v>297</v>
      </c>
      <c r="E30" s="265"/>
      <c r="F30" s="121" t="s">
        <v>272</v>
      </c>
      <c r="G30" s="112" t="s">
        <v>344</v>
      </c>
      <c r="H30" s="123" t="s">
        <v>273</v>
      </c>
      <c r="I30" s="92" t="s">
        <v>306</v>
      </c>
      <c r="J30" s="78"/>
    </row>
    <row r="31" spans="1:10" ht="18.600000000000001" customHeight="1">
      <c r="A31" s="297"/>
      <c r="B31" s="290"/>
      <c r="C31" s="67" t="s">
        <v>95</v>
      </c>
      <c r="D31" s="251" t="s">
        <v>294</v>
      </c>
      <c r="E31" s="252"/>
      <c r="F31" s="84" t="s">
        <v>268</v>
      </c>
      <c r="G31" s="108" t="s">
        <v>345</v>
      </c>
      <c r="H31" s="128" t="s">
        <v>269</v>
      </c>
      <c r="I31" s="85" t="s">
        <v>258</v>
      </c>
      <c r="J31" s="78"/>
    </row>
    <row r="32" spans="1:10" ht="18.600000000000001" customHeight="1">
      <c r="A32" s="297"/>
      <c r="B32" s="290"/>
      <c r="C32" s="86" t="s">
        <v>57</v>
      </c>
      <c r="D32" s="251" t="s">
        <v>299</v>
      </c>
      <c r="E32" s="252"/>
      <c r="F32" s="116" t="s">
        <v>306</v>
      </c>
      <c r="G32" s="108" t="s">
        <v>346</v>
      </c>
      <c r="H32" s="83" t="s">
        <v>307</v>
      </c>
      <c r="I32" s="85" t="s">
        <v>273</v>
      </c>
      <c r="J32" s="78"/>
    </row>
    <row r="33" spans="1:10" ht="18.600000000000001" customHeight="1" thickBot="1">
      <c r="A33" s="297"/>
      <c r="B33" s="290"/>
      <c r="C33" s="86" t="s">
        <v>123</v>
      </c>
      <c r="D33" s="286" t="s">
        <v>300</v>
      </c>
      <c r="E33" s="287"/>
      <c r="F33" s="129" t="s">
        <v>257</v>
      </c>
      <c r="G33" s="113" t="s">
        <v>338</v>
      </c>
      <c r="H33" s="131" t="s">
        <v>258</v>
      </c>
      <c r="I33" s="89" t="s">
        <v>269</v>
      </c>
      <c r="J33" s="79"/>
    </row>
    <row r="34" spans="1:10" ht="18.600000000000001" customHeight="1" thickTop="1">
      <c r="A34" s="297"/>
      <c r="B34" s="269" t="s">
        <v>151</v>
      </c>
      <c r="C34" s="90" t="s">
        <v>54</v>
      </c>
      <c r="D34" s="260" t="s">
        <v>51</v>
      </c>
      <c r="E34" s="261"/>
      <c r="F34" s="130" t="s">
        <v>252</v>
      </c>
      <c r="G34" s="110" t="s">
        <v>344</v>
      </c>
      <c r="H34" s="132" t="s">
        <v>253</v>
      </c>
      <c r="I34" s="92" t="s">
        <v>277</v>
      </c>
      <c r="J34" s="78"/>
    </row>
    <row r="35" spans="1:10" ht="18.600000000000001" customHeight="1">
      <c r="A35" s="297"/>
      <c r="B35" s="257"/>
      <c r="C35" s="67" t="s">
        <v>55</v>
      </c>
      <c r="D35" s="251" t="s">
        <v>66</v>
      </c>
      <c r="E35" s="252"/>
      <c r="F35" s="116" t="s">
        <v>259</v>
      </c>
      <c r="G35" s="108" t="s">
        <v>347</v>
      </c>
      <c r="H35" s="83" t="s">
        <v>261</v>
      </c>
      <c r="I35" s="85" t="s">
        <v>280</v>
      </c>
      <c r="J35" s="78"/>
    </row>
    <row r="36" spans="1:10" ht="18.600000000000001" customHeight="1">
      <c r="A36" s="297"/>
      <c r="B36" s="257"/>
      <c r="C36" s="86" t="s">
        <v>118</v>
      </c>
      <c r="D36" s="251" t="s">
        <v>67</v>
      </c>
      <c r="E36" s="252"/>
      <c r="F36" s="84" t="s">
        <v>277</v>
      </c>
      <c r="G36" s="108" t="s">
        <v>337</v>
      </c>
      <c r="H36" s="128" t="s">
        <v>278</v>
      </c>
      <c r="I36" s="85" t="s">
        <v>253</v>
      </c>
      <c r="J36" s="78"/>
    </row>
    <row r="37" spans="1:10" ht="18.600000000000001" customHeight="1" thickBot="1">
      <c r="A37" s="298"/>
      <c r="B37" s="259"/>
      <c r="C37" s="103" t="s">
        <v>119</v>
      </c>
      <c r="D37" s="286" t="s">
        <v>68</v>
      </c>
      <c r="E37" s="287"/>
      <c r="F37" s="133" t="s">
        <v>281</v>
      </c>
      <c r="G37" s="114" t="s">
        <v>338</v>
      </c>
      <c r="H37" s="134" t="s">
        <v>280</v>
      </c>
      <c r="I37" s="100" t="s">
        <v>261</v>
      </c>
      <c r="J37" s="78"/>
    </row>
    <row r="38" spans="1:10" ht="18.600000000000001" customHeight="1">
      <c r="A38" s="245" t="s">
        <v>351</v>
      </c>
      <c r="B38" s="257" t="s">
        <v>151</v>
      </c>
      <c r="C38" s="95" t="s">
        <v>56</v>
      </c>
      <c r="D38" s="293" t="s">
        <v>51</v>
      </c>
      <c r="E38" s="278"/>
      <c r="F38" s="119" t="s">
        <v>272</v>
      </c>
      <c r="G38" s="112" t="s">
        <v>394</v>
      </c>
      <c r="H38" s="96" t="s">
        <v>275</v>
      </c>
      <c r="I38" s="82" t="s">
        <v>259</v>
      </c>
      <c r="J38" s="78"/>
    </row>
    <row r="39" spans="1:10" ht="18.600000000000001" customHeight="1">
      <c r="A39" s="246"/>
      <c r="B39" s="257"/>
      <c r="C39" s="95" t="s">
        <v>120</v>
      </c>
      <c r="D39" s="251" t="s">
        <v>66</v>
      </c>
      <c r="E39" s="252"/>
      <c r="F39" s="116" t="s">
        <v>269</v>
      </c>
      <c r="G39" s="108" t="s">
        <v>395</v>
      </c>
      <c r="H39" s="83" t="s">
        <v>270</v>
      </c>
      <c r="I39" s="85" t="s">
        <v>251</v>
      </c>
      <c r="J39" s="78"/>
    </row>
    <row r="40" spans="1:10" ht="18.600000000000001" customHeight="1">
      <c r="A40" s="246"/>
      <c r="B40" s="257"/>
      <c r="C40" s="67" t="s">
        <v>131</v>
      </c>
      <c r="D40" s="251" t="s">
        <v>295</v>
      </c>
      <c r="E40" s="252"/>
      <c r="F40" s="116" t="s">
        <v>259</v>
      </c>
      <c r="G40" s="108" t="s">
        <v>396</v>
      </c>
      <c r="H40" s="83" t="s">
        <v>260</v>
      </c>
      <c r="I40" s="85" t="s">
        <v>272</v>
      </c>
      <c r="J40" s="78"/>
    </row>
    <row r="41" spans="1:10" ht="18.600000000000001" customHeight="1" thickBot="1">
      <c r="A41" s="247"/>
      <c r="B41" s="258"/>
      <c r="C41" s="93" t="s">
        <v>132</v>
      </c>
      <c r="D41" s="286" t="s">
        <v>298</v>
      </c>
      <c r="E41" s="287"/>
      <c r="F41" s="244" t="s">
        <v>251</v>
      </c>
      <c r="G41" s="109" t="s">
        <v>407</v>
      </c>
      <c r="H41" s="104" t="s">
        <v>253</v>
      </c>
      <c r="I41" s="89" t="s">
        <v>270</v>
      </c>
      <c r="J41" s="78"/>
    </row>
    <row r="42" spans="1:10" ht="18.600000000000001" customHeight="1" thickTop="1">
      <c r="A42" s="273" t="s">
        <v>350</v>
      </c>
      <c r="B42" s="269" t="s">
        <v>35</v>
      </c>
      <c r="C42" s="90" t="s">
        <v>125</v>
      </c>
      <c r="D42" s="260" t="s">
        <v>51</v>
      </c>
      <c r="E42" s="261"/>
      <c r="F42" s="119" t="s">
        <v>281</v>
      </c>
      <c r="G42" s="112" t="s">
        <v>353</v>
      </c>
      <c r="H42" s="96" t="s">
        <v>282</v>
      </c>
      <c r="I42" s="92" t="s">
        <v>273</v>
      </c>
      <c r="J42" s="78"/>
    </row>
    <row r="43" spans="1:10" ht="18.600000000000001" customHeight="1">
      <c r="A43" s="273"/>
      <c r="B43" s="257"/>
      <c r="C43" s="95" t="s">
        <v>52</v>
      </c>
      <c r="D43" s="251" t="s">
        <v>294</v>
      </c>
      <c r="E43" s="252"/>
      <c r="F43" s="119" t="s">
        <v>306</v>
      </c>
      <c r="G43" s="112" t="s">
        <v>354</v>
      </c>
      <c r="H43" s="96" t="s">
        <v>308</v>
      </c>
      <c r="I43" s="85" t="s">
        <v>266</v>
      </c>
      <c r="J43" s="78"/>
    </row>
    <row r="44" spans="1:10" ht="18.600000000000001" customHeight="1">
      <c r="A44" s="273"/>
      <c r="B44" s="257"/>
      <c r="C44" s="67" t="s">
        <v>128</v>
      </c>
      <c r="D44" s="251" t="s">
        <v>67</v>
      </c>
      <c r="E44" s="252"/>
      <c r="F44" s="119" t="s">
        <v>273</v>
      </c>
      <c r="G44" s="112" t="s">
        <v>356</v>
      </c>
      <c r="H44" s="96" t="s">
        <v>274</v>
      </c>
      <c r="I44" s="85" t="s">
        <v>281</v>
      </c>
      <c r="J44" s="78"/>
    </row>
    <row r="45" spans="1:10" ht="18.600000000000001" customHeight="1" thickBot="1">
      <c r="A45" s="273"/>
      <c r="B45" s="257"/>
      <c r="C45" s="86" t="s">
        <v>127</v>
      </c>
      <c r="D45" s="266" t="s">
        <v>296</v>
      </c>
      <c r="E45" s="267"/>
      <c r="F45" s="208" t="s">
        <v>265</v>
      </c>
      <c r="G45" s="113" t="s">
        <v>358</v>
      </c>
      <c r="H45" s="104" t="s">
        <v>266</v>
      </c>
      <c r="I45" s="89" t="s">
        <v>308</v>
      </c>
      <c r="J45" s="78"/>
    </row>
    <row r="46" spans="1:10" ht="18.600000000000001" customHeight="1" thickTop="1">
      <c r="A46" s="273"/>
      <c r="B46" s="269" t="s">
        <v>45</v>
      </c>
      <c r="C46" s="90" t="s">
        <v>53</v>
      </c>
      <c r="D46" s="280" t="s">
        <v>301</v>
      </c>
      <c r="E46" s="265"/>
      <c r="F46" s="117" t="s">
        <v>280</v>
      </c>
      <c r="G46" s="110" t="s">
        <v>352</v>
      </c>
      <c r="H46" s="91" t="s">
        <v>283</v>
      </c>
      <c r="I46" s="92" t="s">
        <v>263</v>
      </c>
      <c r="J46" s="78"/>
    </row>
    <row r="47" spans="1:10" ht="18.600000000000001" customHeight="1">
      <c r="A47" s="273"/>
      <c r="B47" s="257"/>
      <c r="C47" s="95" t="s">
        <v>138</v>
      </c>
      <c r="D47" s="251" t="s">
        <v>66</v>
      </c>
      <c r="E47" s="252"/>
      <c r="F47" s="206" t="s">
        <v>277</v>
      </c>
      <c r="G47" s="108" t="s">
        <v>355</v>
      </c>
      <c r="H47" s="207" t="s">
        <v>279</v>
      </c>
      <c r="I47" s="85" t="s">
        <v>257</v>
      </c>
      <c r="J47" s="78"/>
    </row>
    <row r="48" spans="1:10" ht="18.600000000000001" customHeight="1">
      <c r="A48" s="273"/>
      <c r="B48" s="257"/>
      <c r="C48" s="95" t="s">
        <v>57</v>
      </c>
      <c r="D48" s="251" t="s">
        <v>302</v>
      </c>
      <c r="E48" s="252"/>
      <c r="F48" s="206" t="s">
        <v>263</v>
      </c>
      <c r="G48" s="108" t="s">
        <v>357</v>
      </c>
      <c r="H48" s="207" t="s">
        <v>264</v>
      </c>
      <c r="I48" s="85" t="s">
        <v>283</v>
      </c>
      <c r="J48" s="78"/>
    </row>
    <row r="49" spans="1:13" ht="18.600000000000001" customHeight="1" thickBot="1">
      <c r="A49" s="277"/>
      <c r="B49" s="259"/>
      <c r="C49" s="98" t="s">
        <v>70</v>
      </c>
      <c r="D49" s="285" t="s">
        <v>68</v>
      </c>
      <c r="E49" s="262"/>
      <c r="F49" s="209" t="s">
        <v>256</v>
      </c>
      <c r="G49" s="114" t="s">
        <v>359</v>
      </c>
      <c r="H49" s="105" t="s">
        <v>257</v>
      </c>
      <c r="I49" s="100" t="s">
        <v>279</v>
      </c>
      <c r="J49" s="78"/>
    </row>
    <row r="50" spans="1:13" ht="18.600000000000001" customHeight="1">
      <c r="A50" s="276" t="s">
        <v>162</v>
      </c>
      <c r="B50" s="257" t="s">
        <v>32</v>
      </c>
      <c r="C50" s="95" t="s">
        <v>53</v>
      </c>
      <c r="D50" s="280" t="s">
        <v>51</v>
      </c>
      <c r="E50" s="265"/>
      <c r="F50" s="119" t="s">
        <v>267</v>
      </c>
      <c r="G50" s="112" t="s">
        <v>361</v>
      </c>
      <c r="H50" s="96" t="s">
        <v>268</v>
      </c>
      <c r="I50" s="82" t="s">
        <v>275</v>
      </c>
      <c r="J50" s="78"/>
    </row>
    <row r="51" spans="1:13" ht="18.600000000000001" customHeight="1">
      <c r="A51" s="276"/>
      <c r="B51" s="257"/>
      <c r="C51" s="95" t="s">
        <v>139</v>
      </c>
      <c r="D51" s="251" t="s">
        <v>287</v>
      </c>
      <c r="E51" s="252"/>
      <c r="F51" s="116" t="s">
        <v>255</v>
      </c>
      <c r="G51" s="108" t="s">
        <v>360</v>
      </c>
      <c r="H51" s="83" t="s">
        <v>258</v>
      </c>
      <c r="I51" s="85" t="s">
        <v>307</v>
      </c>
      <c r="J51" s="78"/>
    </row>
    <row r="52" spans="1:13" ht="18.600000000000001" customHeight="1">
      <c r="A52" s="276"/>
      <c r="B52" s="257"/>
      <c r="C52" s="95" t="s">
        <v>57</v>
      </c>
      <c r="D52" s="251" t="s">
        <v>288</v>
      </c>
      <c r="E52" s="252"/>
      <c r="F52" s="206" t="s">
        <v>273</v>
      </c>
      <c r="G52" s="108" t="s">
        <v>334</v>
      </c>
      <c r="H52" s="207" t="s">
        <v>275</v>
      </c>
      <c r="I52" s="85" t="s">
        <v>255</v>
      </c>
      <c r="J52" s="79"/>
    </row>
    <row r="53" spans="1:13" ht="18.600000000000001" customHeight="1" thickBot="1">
      <c r="A53" s="276"/>
      <c r="B53" s="258"/>
      <c r="C53" s="93" t="s">
        <v>148</v>
      </c>
      <c r="D53" s="286" t="s">
        <v>300</v>
      </c>
      <c r="E53" s="287"/>
      <c r="F53" s="88" t="s">
        <v>307</v>
      </c>
      <c r="G53" s="109" t="s">
        <v>389</v>
      </c>
      <c r="H53" s="125" t="s">
        <v>308</v>
      </c>
      <c r="I53" s="89" t="s">
        <v>258</v>
      </c>
      <c r="J53" s="78"/>
    </row>
    <row r="54" spans="1:13" ht="18.600000000000001" customHeight="1" thickTop="1">
      <c r="A54" s="276"/>
      <c r="B54" s="257" t="s">
        <v>129</v>
      </c>
      <c r="C54" s="95" t="s">
        <v>53</v>
      </c>
      <c r="D54" s="260" t="s">
        <v>303</v>
      </c>
      <c r="E54" s="261"/>
      <c r="F54" s="119" t="s">
        <v>276</v>
      </c>
      <c r="G54" s="112" t="s">
        <v>362</v>
      </c>
      <c r="H54" s="96" t="s">
        <v>278</v>
      </c>
      <c r="I54" s="92" t="s">
        <v>259</v>
      </c>
      <c r="J54" s="78"/>
    </row>
    <row r="55" spans="1:13" ht="18.600000000000001" customHeight="1">
      <c r="A55" s="276"/>
      <c r="B55" s="257"/>
      <c r="C55" s="95" t="s">
        <v>52</v>
      </c>
      <c r="D55" s="251" t="s">
        <v>304</v>
      </c>
      <c r="E55" s="252"/>
      <c r="F55" s="84" t="s">
        <v>260</v>
      </c>
      <c r="G55" s="108" t="s">
        <v>363</v>
      </c>
      <c r="H55" s="128" t="s">
        <v>261</v>
      </c>
      <c r="I55" s="85" t="s">
        <v>280</v>
      </c>
      <c r="J55" s="78"/>
    </row>
    <row r="56" spans="1:13" ht="18.600000000000001" customHeight="1">
      <c r="A56" s="276"/>
      <c r="B56" s="257"/>
      <c r="C56" s="95" t="s">
        <v>57</v>
      </c>
      <c r="D56" s="251" t="s">
        <v>295</v>
      </c>
      <c r="E56" s="252"/>
      <c r="F56" s="116" t="s">
        <v>259</v>
      </c>
      <c r="G56" s="108" t="s">
        <v>385</v>
      </c>
      <c r="H56" s="83" t="s">
        <v>262</v>
      </c>
      <c r="I56" s="85" t="s">
        <v>278</v>
      </c>
      <c r="J56" s="78"/>
    </row>
    <row r="57" spans="1:13" ht="18.600000000000001" customHeight="1" thickBot="1">
      <c r="A57" s="271"/>
      <c r="B57" s="259"/>
      <c r="C57" s="98" t="s">
        <v>70</v>
      </c>
      <c r="D57" s="285" t="s">
        <v>305</v>
      </c>
      <c r="E57" s="262"/>
      <c r="F57" s="209" t="s">
        <v>280</v>
      </c>
      <c r="G57" s="114" t="s">
        <v>386</v>
      </c>
      <c r="H57" s="105" t="s">
        <v>282</v>
      </c>
      <c r="I57" s="100" t="s">
        <v>261</v>
      </c>
      <c r="J57" s="78"/>
    </row>
    <row r="58" spans="1:13" ht="13.5" customHeight="1">
      <c r="A58" s="5"/>
      <c r="B58" s="18"/>
      <c r="C58" s="5"/>
      <c r="D58" s="292"/>
      <c r="E58" s="292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8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5"/>
      <c r="B60" s="18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30.75" customHeight="1">
      <c r="A61" s="32" t="s">
        <v>124</v>
      </c>
      <c r="B61" s="18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32"/>
      <c r="B62" s="18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48"/>
      <c r="C63" s="49"/>
      <c r="D63" s="49"/>
      <c r="E63" s="49"/>
      <c r="F63" s="49"/>
      <c r="G63" s="49"/>
      <c r="H63" s="49"/>
      <c r="I63" s="50"/>
      <c r="J63" s="1"/>
      <c r="K63" s="1"/>
    </row>
    <row r="64" spans="1:13" ht="25.5" customHeight="1">
      <c r="A64" s="5"/>
      <c r="B64" s="48"/>
      <c r="C64" s="49"/>
      <c r="D64" s="49"/>
      <c r="E64" s="49"/>
      <c r="F64" s="49"/>
      <c r="G64" s="49"/>
      <c r="H64" s="49"/>
      <c r="I64" s="50"/>
      <c r="J64" s="1"/>
      <c r="K64" s="1"/>
    </row>
    <row r="65" spans="1:11" ht="25.5" customHeight="1">
      <c r="A65" s="5"/>
      <c r="B65" s="48"/>
      <c r="C65" s="49"/>
      <c r="D65" s="49"/>
      <c r="E65" s="49"/>
      <c r="F65" s="49"/>
      <c r="G65" s="49"/>
      <c r="H65" s="49"/>
      <c r="I65" s="50"/>
    </row>
    <row r="66" spans="1:11" ht="25.5" customHeight="1">
      <c r="A66" s="5"/>
      <c r="B66" s="48"/>
      <c r="C66" s="49"/>
      <c r="D66" s="49"/>
      <c r="E66" s="49"/>
      <c r="F66" s="49"/>
      <c r="G66" s="49"/>
      <c r="H66" s="49"/>
      <c r="I66" s="50"/>
    </row>
    <row r="67" spans="1:11" ht="25.5" customHeight="1">
      <c r="A67" s="5"/>
      <c r="B67" s="48"/>
      <c r="C67" s="49"/>
      <c r="D67" s="49"/>
      <c r="E67" s="49"/>
      <c r="F67" s="49"/>
      <c r="G67" s="49"/>
      <c r="H67" s="49"/>
      <c r="I67" s="50"/>
    </row>
    <row r="68" spans="1:11" ht="25.5" customHeight="1">
      <c r="A68" s="5"/>
      <c r="B68" s="48"/>
      <c r="C68" s="49"/>
      <c r="D68" s="49"/>
      <c r="E68" s="49"/>
      <c r="F68" s="49"/>
      <c r="G68" s="49"/>
      <c r="H68" s="49"/>
      <c r="I68" s="50"/>
    </row>
    <row r="69" spans="1:11" ht="25.5" customHeight="1">
      <c r="A69" s="5"/>
      <c r="B69" s="48"/>
      <c r="C69" s="49"/>
      <c r="D69" s="49"/>
      <c r="E69" s="49"/>
      <c r="F69" s="49"/>
      <c r="G69" s="49"/>
      <c r="H69" s="49"/>
      <c r="I69" s="50"/>
    </row>
    <row r="70" spans="1:11" ht="25.5" customHeight="1">
      <c r="A70" s="5"/>
      <c r="B70" s="48"/>
      <c r="C70" s="49"/>
      <c r="D70" s="49"/>
      <c r="E70" s="49"/>
      <c r="F70" s="49"/>
      <c r="G70" s="49"/>
      <c r="H70" s="49"/>
      <c r="I70" s="50"/>
    </row>
    <row r="71" spans="1:11" ht="25.5" customHeight="1">
      <c r="A71" s="5"/>
      <c r="B71" s="48"/>
      <c r="C71" s="49"/>
      <c r="D71" s="49"/>
      <c r="E71" s="49"/>
      <c r="F71" s="49"/>
      <c r="G71" s="49"/>
      <c r="H71" s="49"/>
      <c r="I71" s="50"/>
      <c r="J71" s="27"/>
      <c r="K71" s="27"/>
    </row>
    <row r="72" spans="1:11" ht="25.5" customHeight="1">
      <c r="A72" s="5"/>
      <c r="B72" s="18"/>
      <c r="C72" s="5"/>
      <c r="D72" s="5"/>
      <c r="E72" s="5"/>
      <c r="F72" s="5"/>
      <c r="G72" s="5"/>
      <c r="H72" s="5"/>
      <c r="I72" s="3"/>
      <c r="J72" s="27"/>
      <c r="K72" s="27"/>
    </row>
    <row r="73" spans="1:11" ht="21" customHeight="1" thickBot="1">
      <c r="A73" s="32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2" t="s">
        <v>7</v>
      </c>
      <c r="B74" s="19" t="s">
        <v>8</v>
      </c>
      <c r="C74" s="14" t="s">
        <v>50</v>
      </c>
      <c r="D74" s="291" t="s">
        <v>9</v>
      </c>
      <c r="E74" s="250"/>
      <c r="F74" s="248" t="s">
        <v>10</v>
      </c>
      <c r="G74" s="249"/>
      <c r="H74" s="250"/>
      <c r="I74" s="77" t="s">
        <v>11</v>
      </c>
    </row>
    <row r="75" spans="1:11" ht="18" customHeight="1">
      <c r="A75" s="270" t="s">
        <v>152</v>
      </c>
      <c r="B75" s="282" t="s">
        <v>163</v>
      </c>
      <c r="C75" s="9">
        <v>1</v>
      </c>
      <c r="D75" s="278" t="s">
        <v>153</v>
      </c>
      <c r="E75" s="279"/>
      <c r="F75" s="359" t="s">
        <v>393</v>
      </c>
      <c r="G75" s="212" t="s">
        <v>417</v>
      </c>
      <c r="H75" s="213" t="s">
        <v>399</v>
      </c>
      <c r="I75" s="72" t="s">
        <v>141</v>
      </c>
    </row>
    <row r="76" spans="1:11" ht="18" customHeight="1" thickBot="1">
      <c r="A76" s="271"/>
      <c r="B76" s="283"/>
      <c r="C76" s="20">
        <v>2</v>
      </c>
      <c r="D76" s="262" t="s">
        <v>154</v>
      </c>
      <c r="E76" s="263"/>
      <c r="F76" s="214" t="s">
        <v>401</v>
      </c>
      <c r="G76" s="215" t="s">
        <v>418</v>
      </c>
      <c r="H76" s="360" t="s">
        <v>370</v>
      </c>
      <c r="I76" s="73" t="s">
        <v>142</v>
      </c>
    </row>
    <row r="77" spans="1:11" ht="21" customHeight="1">
      <c r="A77" s="272" t="s">
        <v>155</v>
      </c>
      <c r="B77" s="253" t="s">
        <v>163</v>
      </c>
      <c r="C77" s="9" t="s">
        <v>58</v>
      </c>
      <c r="D77" s="278" t="s">
        <v>134</v>
      </c>
      <c r="E77" s="279"/>
      <c r="F77" s="211" t="s">
        <v>400</v>
      </c>
      <c r="G77" s="212"/>
      <c r="H77" s="216" t="s">
        <v>34</v>
      </c>
      <c r="I77" s="72" t="s">
        <v>13</v>
      </c>
    </row>
    <row r="78" spans="1:11" ht="21" customHeight="1">
      <c r="A78" s="273"/>
      <c r="B78" s="255"/>
      <c r="C78" s="10" t="s">
        <v>100</v>
      </c>
      <c r="D78" s="252" t="s">
        <v>135</v>
      </c>
      <c r="E78" s="281"/>
      <c r="F78" s="217" t="s">
        <v>391</v>
      </c>
      <c r="G78" s="218"/>
      <c r="H78" s="219" t="s">
        <v>382</v>
      </c>
      <c r="I78" s="74" t="s">
        <v>14</v>
      </c>
    </row>
    <row r="79" spans="1:11" ht="21" customHeight="1">
      <c r="A79" s="273"/>
      <c r="B79" s="255"/>
      <c r="C79" s="10" t="s">
        <v>101</v>
      </c>
      <c r="D79" s="252" t="s">
        <v>136</v>
      </c>
      <c r="E79" s="281"/>
      <c r="F79" s="217" t="s">
        <v>392</v>
      </c>
      <c r="G79" s="218"/>
      <c r="H79" s="219" t="s">
        <v>368</v>
      </c>
      <c r="I79" s="74" t="s">
        <v>15</v>
      </c>
    </row>
    <row r="80" spans="1:11" ht="21" customHeight="1" thickBot="1">
      <c r="A80" s="273"/>
      <c r="B80" s="254"/>
      <c r="C80" s="39" t="s">
        <v>102</v>
      </c>
      <c r="D80" s="267" t="s">
        <v>137</v>
      </c>
      <c r="E80" s="268"/>
      <c r="F80" s="220" t="s">
        <v>398</v>
      </c>
      <c r="G80" s="221"/>
      <c r="H80" s="222" t="s">
        <v>383</v>
      </c>
      <c r="I80" s="75" t="s">
        <v>16</v>
      </c>
    </row>
    <row r="81" spans="1:11" ht="21" customHeight="1" thickTop="1">
      <c r="A81" s="273"/>
      <c r="B81" s="264" t="s">
        <v>133</v>
      </c>
      <c r="C81" s="20" t="s">
        <v>103</v>
      </c>
      <c r="D81" s="261" t="s">
        <v>134</v>
      </c>
      <c r="E81" s="284"/>
      <c r="F81" s="223" t="s">
        <v>397</v>
      </c>
      <c r="G81" s="224"/>
      <c r="H81" s="225" t="s">
        <v>369</v>
      </c>
      <c r="I81" s="76" t="s">
        <v>109</v>
      </c>
    </row>
    <row r="82" spans="1:11" ht="21" customHeight="1">
      <c r="A82" s="273"/>
      <c r="B82" s="255"/>
      <c r="C82" s="10" t="s">
        <v>104</v>
      </c>
      <c r="D82" s="252" t="s">
        <v>135</v>
      </c>
      <c r="E82" s="281"/>
      <c r="F82" s="217" t="s">
        <v>366</v>
      </c>
      <c r="G82" s="218"/>
      <c r="H82" s="219" t="s">
        <v>365</v>
      </c>
      <c r="I82" s="74" t="s">
        <v>110</v>
      </c>
    </row>
    <row r="83" spans="1:11" ht="21" customHeight="1">
      <c r="A83" s="273"/>
      <c r="B83" s="255"/>
      <c r="C83" s="16" t="s">
        <v>105</v>
      </c>
      <c r="D83" s="252" t="s">
        <v>136</v>
      </c>
      <c r="E83" s="281"/>
      <c r="F83" s="226" t="s">
        <v>364</v>
      </c>
      <c r="G83" s="227"/>
      <c r="H83" s="228" t="s">
        <v>367</v>
      </c>
      <c r="I83" s="74" t="s">
        <v>40</v>
      </c>
    </row>
    <row r="84" spans="1:11" ht="21" customHeight="1" thickBot="1">
      <c r="A84" s="277"/>
      <c r="B84" s="256"/>
      <c r="C84" s="11" t="s">
        <v>106</v>
      </c>
      <c r="D84" s="262" t="s">
        <v>137</v>
      </c>
      <c r="E84" s="263"/>
      <c r="F84" s="214" t="s">
        <v>38</v>
      </c>
      <c r="G84" s="215"/>
      <c r="H84" s="229" t="s">
        <v>378</v>
      </c>
      <c r="I84" s="73" t="s">
        <v>21</v>
      </c>
    </row>
    <row r="85" spans="1:11" ht="21" customHeight="1">
      <c r="A85" s="272" t="s">
        <v>156</v>
      </c>
      <c r="B85" s="253" t="s">
        <v>201</v>
      </c>
      <c r="C85" s="9" t="s">
        <v>59</v>
      </c>
      <c r="D85" s="278" t="s">
        <v>411</v>
      </c>
      <c r="E85" s="279"/>
      <c r="F85" s="211" t="s">
        <v>20</v>
      </c>
      <c r="G85" s="212"/>
      <c r="H85" s="216" t="s">
        <v>39</v>
      </c>
      <c r="I85" s="72" t="s">
        <v>168</v>
      </c>
      <c r="J85" s="29" t="s">
        <v>71</v>
      </c>
      <c r="K85" s="29"/>
    </row>
    <row r="86" spans="1:11" ht="21" customHeight="1">
      <c r="A86" s="273"/>
      <c r="B86" s="255"/>
      <c r="C86" s="10" t="s">
        <v>60</v>
      </c>
      <c r="D86" s="252" t="s">
        <v>412</v>
      </c>
      <c r="E86" s="281"/>
      <c r="F86" s="217" t="s">
        <v>17</v>
      </c>
      <c r="G86" s="218"/>
      <c r="H86" s="219" t="s">
        <v>22</v>
      </c>
      <c r="I86" s="74" t="s">
        <v>168</v>
      </c>
      <c r="J86" s="29" t="s">
        <v>72</v>
      </c>
      <c r="K86" s="29"/>
    </row>
    <row r="87" spans="1:11" ht="21" customHeight="1">
      <c r="A87" s="273"/>
      <c r="B87" s="255"/>
      <c r="C87" s="10" t="s">
        <v>61</v>
      </c>
      <c r="D87" s="252" t="s">
        <v>413</v>
      </c>
      <c r="E87" s="281"/>
      <c r="F87" s="217" t="s">
        <v>18</v>
      </c>
      <c r="G87" s="218"/>
      <c r="H87" s="219" t="s">
        <v>108</v>
      </c>
      <c r="I87" s="74" t="s">
        <v>168</v>
      </c>
      <c r="J87" s="29" t="s">
        <v>72</v>
      </c>
      <c r="K87" s="29"/>
    </row>
    <row r="88" spans="1:11" ht="21" customHeight="1" thickBot="1">
      <c r="A88" s="277"/>
      <c r="B88" s="256"/>
      <c r="C88" s="11" t="s">
        <v>62</v>
      </c>
      <c r="D88" s="262" t="s">
        <v>414</v>
      </c>
      <c r="E88" s="263"/>
      <c r="F88" s="214" t="s">
        <v>19</v>
      </c>
      <c r="G88" s="215"/>
      <c r="H88" s="229" t="s">
        <v>107</v>
      </c>
      <c r="I88" s="73" t="s">
        <v>168</v>
      </c>
      <c r="J88" s="29" t="s">
        <v>72</v>
      </c>
      <c r="K88" s="29"/>
    </row>
    <row r="89" spans="1:11" ht="21" customHeight="1">
      <c r="A89" s="272" t="s">
        <v>157</v>
      </c>
      <c r="B89" s="253" t="s">
        <v>1</v>
      </c>
      <c r="C89" s="9" t="s">
        <v>309</v>
      </c>
      <c r="D89" s="278" t="s">
        <v>310</v>
      </c>
      <c r="E89" s="279"/>
      <c r="F89" s="230" t="s">
        <v>317</v>
      </c>
      <c r="G89" s="231"/>
      <c r="H89" s="232" t="s">
        <v>321</v>
      </c>
      <c r="I89" s="72" t="s">
        <v>167</v>
      </c>
      <c r="J89" s="29" t="s">
        <v>416</v>
      </c>
    </row>
    <row r="90" spans="1:11" ht="21" customHeight="1">
      <c r="A90" s="273"/>
      <c r="B90" s="255"/>
      <c r="C90" s="10" t="s">
        <v>311</v>
      </c>
      <c r="D90" s="252" t="s">
        <v>312</v>
      </c>
      <c r="E90" s="281"/>
      <c r="F90" s="217" t="s">
        <v>318</v>
      </c>
      <c r="G90" s="218"/>
      <c r="H90" s="233" t="s">
        <v>322</v>
      </c>
      <c r="I90" s="353" t="s">
        <v>167</v>
      </c>
      <c r="J90" s="29" t="s">
        <v>415</v>
      </c>
      <c r="K90" s="29"/>
    </row>
    <row r="91" spans="1:11" ht="21" customHeight="1">
      <c r="A91" s="273"/>
      <c r="B91" s="255"/>
      <c r="C91" s="52" t="s">
        <v>313</v>
      </c>
      <c r="D91" s="252" t="s">
        <v>314</v>
      </c>
      <c r="E91" s="281"/>
      <c r="F91" s="234" t="s">
        <v>319</v>
      </c>
      <c r="G91" s="235"/>
      <c r="H91" s="236" t="s">
        <v>323</v>
      </c>
      <c r="I91" s="74" t="s">
        <v>167</v>
      </c>
      <c r="J91" s="29" t="s">
        <v>72</v>
      </c>
      <c r="K91" s="29"/>
    </row>
    <row r="92" spans="1:11" ht="21" customHeight="1" thickBot="1">
      <c r="A92" s="277"/>
      <c r="B92" s="256"/>
      <c r="C92" s="11" t="s">
        <v>315</v>
      </c>
      <c r="D92" s="262" t="s">
        <v>316</v>
      </c>
      <c r="E92" s="263"/>
      <c r="F92" s="214" t="s">
        <v>320</v>
      </c>
      <c r="G92" s="215"/>
      <c r="H92" s="229" t="s">
        <v>324</v>
      </c>
      <c r="I92" s="354" t="s">
        <v>167</v>
      </c>
      <c r="J92" s="1" t="s">
        <v>416</v>
      </c>
    </row>
    <row r="93" spans="1:11" ht="21" customHeight="1">
      <c r="A93" s="272" t="s">
        <v>158</v>
      </c>
      <c r="B93" s="253" t="s">
        <v>164</v>
      </c>
      <c r="C93" s="47" t="s">
        <v>69</v>
      </c>
      <c r="D93" s="278"/>
      <c r="E93" s="279"/>
      <c r="F93" s="211" t="s">
        <v>79</v>
      </c>
      <c r="G93" s="212"/>
      <c r="H93" s="216" t="s">
        <v>80</v>
      </c>
      <c r="I93" s="72" t="s">
        <v>64</v>
      </c>
      <c r="J93" s="29" t="s">
        <v>73</v>
      </c>
      <c r="K93" s="29"/>
    </row>
    <row r="94" spans="1:11" ht="21" customHeight="1" thickBot="1">
      <c r="A94" s="273"/>
      <c r="B94" s="254"/>
      <c r="C94" s="51" t="s">
        <v>63</v>
      </c>
      <c r="D94" s="267"/>
      <c r="E94" s="268"/>
      <c r="F94" s="220" t="s">
        <v>81</v>
      </c>
      <c r="G94" s="221"/>
      <c r="H94" s="222" t="s">
        <v>82</v>
      </c>
      <c r="I94" s="75" t="s">
        <v>65</v>
      </c>
      <c r="J94" s="29" t="s">
        <v>74</v>
      </c>
      <c r="K94" s="29"/>
    </row>
    <row r="95" spans="1:11" ht="21" customHeight="1" thickTop="1">
      <c r="A95" s="274"/>
      <c r="B95" s="255" t="s">
        <v>159</v>
      </c>
      <c r="C95" s="15" t="s">
        <v>53</v>
      </c>
      <c r="D95" s="349" t="s">
        <v>410</v>
      </c>
      <c r="E95" s="350"/>
      <c r="F95" s="234" t="s">
        <v>83</v>
      </c>
      <c r="G95" s="235"/>
      <c r="H95" s="236" t="s">
        <v>84</v>
      </c>
      <c r="I95" s="76" t="s">
        <v>78</v>
      </c>
      <c r="J95" s="29" t="s">
        <v>75</v>
      </c>
      <c r="K95" s="29"/>
    </row>
    <row r="96" spans="1:11" ht="21" customHeight="1" thickBot="1">
      <c r="A96" s="275"/>
      <c r="B96" s="256"/>
      <c r="C96" s="11" t="s">
        <v>52</v>
      </c>
      <c r="D96" s="351" t="s">
        <v>409</v>
      </c>
      <c r="E96" s="352"/>
      <c r="F96" s="214" t="s">
        <v>85</v>
      </c>
      <c r="G96" s="215"/>
      <c r="H96" s="229" t="s">
        <v>86</v>
      </c>
      <c r="I96" s="73" t="s">
        <v>77</v>
      </c>
      <c r="J96" s="29" t="s">
        <v>76</v>
      </c>
      <c r="K96" s="29"/>
    </row>
    <row r="97" spans="1:9" ht="14.25" customHeight="1">
      <c r="A97" s="21"/>
      <c r="B97" s="30"/>
      <c r="C97" s="5"/>
      <c r="D97" s="30" t="s">
        <v>166</v>
      </c>
      <c r="E97" s="5"/>
      <c r="F97" s="5"/>
      <c r="G97" s="5"/>
      <c r="H97" s="5"/>
      <c r="I97" s="5"/>
    </row>
    <row r="98" spans="1:9">
      <c r="D98" t="s">
        <v>165</v>
      </c>
    </row>
  </sheetData>
  <mergeCells count="110"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D55:E55"/>
    <mergeCell ref="D19:E19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21:E21"/>
    <mergeCell ref="A93:A96"/>
    <mergeCell ref="A50:A57"/>
    <mergeCell ref="D94:E94"/>
    <mergeCell ref="D51:E51"/>
    <mergeCell ref="A89:A92"/>
    <mergeCell ref="D93:E93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A42:A49"/>
    <mergeCell ref="D57:E57"/>
    <mergeCell ref="A38:A41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A75:A76"/>
  </mergeCells>
  <phoneticPr fontId="1"/>
  <pageMargins left="0.46" right="0.2" top="0.39" bottom="0.16" header="0.61" footer="0.21"/>
  <pageSetup paperSize="9" scale="80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43" zoomScaleNormal="100" workbookViewId="0">
      <selection activeCell="N12" sqref="N12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99" t="s">
        <v>284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3" spans="1:29" ht="14.25">
      <c r="A3" s="58" t="s">
        <v>186</v>
      </c>
    </row>
    <row r="4" spans="1:29" ht="14.25">
      <c r="A4" s="58" t="s">
        <v>187</v>
      </c>
    </row>
    <row r="5" spans="1:29" ht="14.25">
      <c r="A5" s="58" t="s">
        <v>188</v>
      </c>
      <c r="T5" s="333">
        <v>42490</v>
      </c>
      <c r="U5" s="333"/>
      <c r="V5" s="59" t="s">
        <v>189</v>
      </c>
    </row>
    <row r="6" spans="1:29" ht="18" thickBot="1">
      <c r="A6" s="60" t="s">
        <v>190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61" t="s">
        <v>191</v>
      </c>
      <c r="B7" s="334" t="str">
        <f>A8</f>
        <v>久喜</v>
      </c>
      <c r="C7" s="334"/>
      <c r="D7" s="334"/>
      <c r="E7" s="335" t="str">
        <f>A9</f>
        <v>大宮開成</v>
      </c>
      <c r="F7" s="334"/>
      <c r="G7" s="336"/>
      <c r="H7" s="335" t="str">
        <f>A10</f>
        <v>本庄</v>
      </c>
      <c r="I7" s="334"/>
      <c r="J7" s="336"/>
      <c r="K7" s="337"/>
      <c r="L7" s="338"/>
      <c r="M7" s="339"/>
      <c r="N7" s="139" t="s">
        <v>192</v>
      </c>
      <c r="O7" s="140" t="s">
        <v>193</v>
      </c>
      <c r="P7" s="141" t="s">
        <v>194</v>
      </c>
      <c r="Q7" s="142" t="s">
        <v>195</v>
      </c>
      <c r="R7" s="143" t="s">
        <v>196</v>
      </c>
      <c r="S7" s="143" t="s">
        <v>197</v>
      </c>
      <c r="T7" s="143" t="s">
        <v>198</v>
      </c>
      <c r="U7" s="144" t="s">
        <v>199</v>
      </c>
      <c r="V7" s="145" t="s">
        <v>200</v>
      </c>
      <c r="Z7" s="3"/>
      <c r="AA7" s="3"/>
      <c r="AB7" s="3"/>
      <c r="AC7" s="3"/>
    </row>
    <row r="8" spans="1:29" ht="17.25">
      <c r="A8" s="66" t="s">
        <v>251</v>
      </c>
      <c r="B8" s="346"/>
      <c r="C8" s="346"/>
      <c r="D8" s="346"/>
      <c r="E8" s="195">
        <v>11</v>
      </c>
      <c r="F8" s="146" t="str">
        <f>IF(E8="","",IF(E8&gt;G8,"〇",IF(E8&lt;G8,"●","△")))</f>
        <v>〇</v>
      </c>
      <c r="G8" s="196">
        <v>0</v>
      </c>
      <c r="H8" s="195">
        <v>3</v>
      </c>
      <c r="I8" s="146" t="str">
        <f>IF(H8="","",IF(H8&gt;J8,"〇",IF(H8&lt;J8,"●","△")))</f>
        <v>〇</v>
      </c>
      <c r="J8" s="196">
        <v>0</v>
      </c>
      <c r="K8" s="340"/>
      <c r="L8" s="341"/>
      <c r="M8" s="342"/>
      <c r="N8" s="179">
        <v>2</v>
      </c>
      <c r="O8" s="147">
        <f>IF(N8="","",P8*3+Q8*1)</f>
        <v>6</v>
      </c>
      <c r="P8" s="148">
        <f t="shared" ref="P8:P10" si="0">IF(N8="","",COUNTIF(B8:M8,"〇"))</f>
        <v>2</v>
      </c>
      <c r="Q8" s="148">
        <f>IF(N8="","",COUNTIF(B8:M8,"△"))</f>
        <v>0</v>
      </c>
      <c r="R8" s="148">
        <f>IF(N8="","",COUNTIF(B8:M8,"●"))</f>
        <v>0</v>
      </c>
      <c r="S8" s="148">
        <f>IF(N8="","",SUM(E8,H8,K8))</f>
        <v>14</v>
      </c>
      <c r="T8" s="148">
        <f>IF(N8="","",SUM(G8,J8,M8))</f>
        <v>0</v>
      </c>
      <c r="U8" s="149">
        <f>IF(N8="","",S8-T8)</f>
        <v>14</v>
      </c>
      <c r="V8" s="200">
        <f>IF(O8="","",RANK(O8,$O8:$O10,0))</f>
        <v>1</v>
      </c>
      <c r="Z8" s="3"/>
      <c r="AA8" s="3"/>
      <c r="AB8" s="3"/>
      <c r="AC8" s="3"/>
    </row>
    <row r="9" spans="1:29" ht="17.25">
      <c r="A9" s="66" t="s">
        <v>252</v>
      </c>
      <c r="B9" s="136">
        <v>0</v>
      </c>
      <c r="C9" s="151" t="str">
        <f>IF(B9="","",IF(B9&gt;D9,"〇",IF(B9&lt;D9,"●","△")))</f>
        <v>●</v>
      </c>
      <c r="D9" s="136">
        <v>11</v>
      </c>
      <c r="E9" s="309"/>
      <c r="F9" s="310"/>
      <c r="G9" s="311"/>
      <c r="H9" s="193">
        <v>0</v>
      </c>
      <c r="I9" s="150" t="str">
        <f>IF(H9="","",IF(H9&gt;J9,"〇",IF(H9&lt;J9,"●","△")))</f>
        <v>△</v>
      </c>
      <c r="J9" s="190">
        <v>0</v>
      </c>
      <c r="K9" s="340"/>
      <c r="L9" s="341"/>
      <c r="M9" s="342"/>
      <c r="N9" s="179">
        <v>2</v>
      </c>
      <c r="O9" s="147">
        <f>IF(N9="","",P9*3+Q9*1)</f>
        <v>1</v>
      </c>
      <c r="P9" s="148">
        <f t="shared" si="0"/>
        <v>0</v>
      </c>
      <c r="Q9" s="148">
        <f t="shared" ref="Q9:Q10" si="1">IF(N9="","",COUNTIF(B9:M9,"△"))</f>
        <v>1</v>
      </c>
      <c r="R9" s="148">
        <f t="shared" ref="R9:R10" si="2">IF(N9="","",COUNTIF(B9:M9,"●"))</f>
        <v>1</v>
      </c>
      <c r="S9" s="148">
        <f>IF(N9="","",SUM(B9,H9,K9))</f>
        <v>0</v>
      </c>
      <c r="T9" s="148">
        <f>IF(N9="","",SUM(D9,J9,M9))</f>
        <v>11</v>
      </c>
      <c r="U9" s="149">
        <f>IF(N9="","",S9-T9)</f>
        <v>-11</v>
      </c>
      <c r="V9" s="200">
        <v>3</v>
      </c>
      <c r="Z9" s="3"/>
      <c r="AA9" s="3"/>
      <c r="AB9" s="3"/>
      <c r="AC9" s="3"/>
    </row>
    <row r="10" spans="1:29" ht="18" thickBot="1">
      <c r="A10" s="62" t="s">
        <v>253</v>
      </c>
      <c r="B10" s="138">
        <v>0</v>
      </c>
      <c r="C10" s="153" t="str">
        <f>IF(B10="","",IF(B10&gt;D10,"〇",IF(B10&lt;D10,"●","△")))</f>
        <v>●</v>
      </c>
      <c r="D10" s="138">
        <v>3</v>
      </c>
      <c r="E10" s="194">
        <v>0</v>
      </c>
      <c r="F10" s="152" t="str">
        <f>IF(E10="","",IF(E10&gt;G10,"〇",IF(E10&lt;G10,"●","△")))</f>
        <v>△</v>
      </c>
      <c r="G10" s="192">
        <v>0</v>
      </c>
      <c r="H10" s="312"/>
      <c r="I10" s="313"/>
      <c r="J10" s="329"/>
      <c r="K10" s="343"/>
      <c r="L10" s="344"/>
      <c r="M10" s="345"/>
      <c r="N10" s="180">
        <v>2</v>
      </c>
      <c r="O10" s="154">
        <f>IF(N10="","",P10*3+Q10*1)</f>
        <v>1</v>
      </c>
      <c r="P10" s="155">
        <f t="shared" si="0"/>
        <v>0</v>
      </c>
      <c r="Q10" s="155">
        <f t="shared" si="1"/>
        <v>1</v>
      </c>
      <c r="R10" s="155">
        <f t="shared" si="2"/>
        <v>1</v>
      </c>
      <c r="S10" s="155">
        <f>IF(N10="","",SUM(E10,B10,K10))</f>
        <v>0</v>
      </c>
      <c r="T10" s="155">
        <f>IF(N10="","",SUM(G10,D10,M10))</f>
        <v>3</v>
      </c>
      <c r="U10" s="156">
        <f>IF(N10="","",S10-T10)</f>
        <v>-3</v>
      </c>
      <c r="V10" s="201">
        <f>IF(O10="","",RANK(O10,$O8:$O10,0))</f>
        <v>2</v>
      </c>
    </row>
    <row r="11" spans="1:29" ht="20.25" hidden="1" customHeight="1" thickBot="1">
      <c r="A11" s="63"/>
      <c r="B11" s="153"/>
      <c r="C11" s="153"/>
      <c r="D11" s="157"/>
      <c r="E11" s="153"/>
      <c r="F11" s="153"/>
      <c r="G11" s="153"/>
      <c r="H11" s="158"/>
      <c r="I11" s="153"/>
      <c r="J11" s="157"/>
      <c r="K11" s="158"/>
      <c r="L11" s="153"/>
      <c r="M11" s="157"/>
      <c r="N11" s="181"/>
      <c r="O11" s="159" t="str">
        <f>IF(N11="","",P11*3+Q11*1)</f>
        <v/>
      </c>
      <c r="P11" s="160">
        <f>COUNTIF(B11:M11,"○")</f>
        <v>0</v>
      </c>
      <c r="Q11" s="160">
        <f>COUNTIF(B11:M11,"△")</f>
        <v>0</v>
      </c>
      <c r="R11" s="160">
        <f>COUNTIF(B11:M11,"●")</f>
        <v>0</v>
      </c>
      <c r="S11" s="160">
        <f>SUM(B11,E11,K11)</f>
        <v>0</v>
      </c>
      <c r="T11" s="160">
        <f>SUM(D11,G11,M11)</f>
        <v>0</v>
      </c>
      <c r="U11" s="161" t="str">
        <f>IF(N11="","",S11-T11)</f>
        <v/>
      </c>
      <c r="V11" s="202"/>
    </row>
    <row r="12" spans="1:29" ht="17.25">
      <c r="A12" s="64"/>
      <c r="B12" s="150"/>
      <c r="C12" s="150"/>
      <c r="D12" s="150"/>
      <c r="E12" s="150"/>
      <c r="F12" s="150"/>
      <c r="G12" s="150"/>
      <c r="H12" s="150"/>
      <c r="I12" s="150"/>
      <c r="J12" s="150"/>
      <c r="K12" s="162"/>
      <c r="L12" s="162"/>
      <c r="M12" s="162"/>
      <c r="N12" s="182"/>
      <c r="O12" s="163"/>
      <c r="P12" s="163"/>
      <c r="Q12" s="163"/>
      <c r="R12" s="163"/>
      <c r="S12" s="163"/>
      <c r="T12" s="163"/>
      <c r="U12" s="163"/>
      <c r="V12" s="182"/>
    </row>
    <row r="13" spans="1:29" ht="18" thickBot="1">
      <c r="A13" s="60" t="s">
        <v>202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82"/>
      <c r="O13" s="163"/>
      <c r="P13" s="163"/>
      <c r="Q13" s="163"/>
      <c r="R13" s="163"/>
      <c r="S13" s="163"/>
      <c r="T13" s="163"/>
      <c r="U13" s="163"/>
      <c r="V13" s="182"/>
    </row>
    <row r="14" spans="1:29" ht="14.25" thickBot="1">
      <c r="A14" s="61" t="s">
        <v>191</v>
      </c>
      <c r="B14" s="315" t="str">
        <f>A15</f>
        <v>花咲徳栄</v>
      </c>
      <c r="C14" s="316"/>
      <c r="D14" s="317"/>
      <c r="E14" s="318" t="str">
        <f>A16</f>
        <v>明の星</v>
      </c>
      <c r="F14" s="316"/>
      <c r="G14" s="317"/>
      <c r="H14" s="318" t="str">
        <f>A17</f>
        <v>川越南</v>
      </c>
      <c r="I14" s="316"/>
      <c r="J14" s="317"/>
      <c r="K14" s="320"/>
      <c r="L14" s="321"/>
      <c r="M14" s="322"/>
      <c r="N14" s="183" t="s">
        <v>192</v>
      </c>
      <c r="O14" s="140" t="s">
        <v>193</v>
      </c>
      <c r="P14" s="141" t="s">
        <v>194</v>
      </c>
      <c r="Q14" s="142" t="s">
        <v>195</v>
      </c>
      <c r="R14" s="143" t="s">
        <v>196</v>
      </c>
      <c r="S14" s="143" t="s">
        <v>197</v>
      </c>
      <c r="T14" s="143" t="s">
        <v>198</v>
      </c>
      <c r="U14" s="144" t="s">
        <v>199</v>
      </c>
      <c r="V14" s="203" t="s">
        <v>200</v>
      </c>
    </row>
    <row r="15" spans="1:29" ht="17.25">
      <c r="A15" s="66" t="s">
        <v>201</v>
      </c>
      <c r="B15" s="306"/>
      <c r="C15" s="307"/>
      <c r="D15" s="308"/>
      <c r="E15" s="135">
        <v>18</v>
      </c>
      <c r="F15" s="146" t="str">
        <f>IF(E15="","",IF(E15&gt;G15,"〇",IF(E15&lt;G15,"●","△")))</f>
        <v>〇</v>
      </c>
      <c r="G15" s="135">
        <v>0</v>
      </c>
      <c r="H15" s="195">
        <v>7</v>
      </c>
      <c r="I15" s="146" t="str">
        <f>IF(H15="","",IF(H15&gt;J15,"〇",IF(H15&lt;J15,"●","△")))</f>
        <v>〇</v>
      </c>
      <c r="J15" s="196">
        <v>0</v>
      </c>
      <c r="K15" s="323"/>
      <c r="L15" s="324"/>
      <c r="M15" s="325"/>
      <c r="N15" s="179">
        <v>2</v>
      </c>
      <c r="O15" s="164">
        <f>IF(N15="","",P15*3+Q15*1)</f>
        <v>6</v>
      </c>
      <c r="P15" s="165">
        <f t="shared" ref="P15:P17" si="3">IF(N15="","",COUNTIF(B15:M15,"〇"))</f>
        <v>2</v>
      </c>
      <c r="Q15" s="165">
        <f t="shared" ref="Q15:Q17" si="4">IF(N15="","",COUNTIF(B15:M15,"△"))</f>
        <v>0</v>
      </c>
      <c r="R15" s="165">
        <f t="shared" ref="R15:R17" si="5">IF(N15="","",COUNTIF(B15:M15,"●"))</f>
        <v>0</v>
      </c>
      <c r="S15" s="165">
        <f>IF(N15="","",SUM(E15,H15,K15))</f>
        <v>25</v>
      </c>
      <c r="T15" s="165">
        <f>IF(N15="","",SUM(G15,J15,M15))</f>
        <v>0</v>
      </c>
      <c r="U15" s="166">
        <f>IF(N15="","",S15-T15)</f>
        <v>25</v>
      </c>
      <c r="V15" s="200">
        <v>1</v>
      </c>
    </row>
    <row r="16" spans="1:29" ht="17.25">
      <c r="A16" s="66" t="s">
        <v>254</v>
      </c>
      <c r="B16" s="187">
        <v>0</v>
      </c>
      <c r="C16" s="151" t="str">
        <f>IF(B16="","",IF(B16&gt;D16,"〇",IF(B16&lt;D16,"●","△")))</f>
        <v>●</v>
      </c>
      <c r="D16" s="190">
        <v>18</v>
      </c>
      <c r="E16" s="309"/>
      <c r="F16" s="310"/>
      <c r="G16" s="311"/>
      <c r="H16" s="193">
        <v>1</v>
      </c>
      <c r="I16" s="150" t="str">
        <f>IF(H16="","",IF(H16&gt;J16,"〇",IF(H16&lt;J16,"●","△")))</f>
        <v>●</v>
      </c>
      <c r="J16" s="190">
        <v>4</v>
      </c>
      <c r="K16" s="323"/>
      <c r="L16" s="324"/>
      <c r="M16" s="325"/>
      <c r="N16" s="179">
        <v>2</v>
      </c>
      <c r="O16" s="147">
        <f>IF(N16="","",P16*3+Q16*1)</f>
        <v>0</v>
      </c>
      <c r="P16" s="148">
        <f t="shared" si="3"/>
        <v>0</v>
      </c>
      <c r="Q16" s="148">
        <f t="shared" si="4"/>
        <v>0</v>
      </c>
      <c r="R16" s="148">
        <f t="shared" si="5"/>
        <v>2</v>
      </c>
      <c r="S16" s="165">
        <f>IF(N16="","",SUM(B16,H16,K16))</f>
        <v>1</v>
      </c>
      <c r="T16" s="165">
        <f>IF(N16="","",SUM(D16,J16,M16))</f>
        <v>22</v>
      </c>
      <c r="U16" s="166">
        <f>IF(N16="","",S16-T16)</f>
        <v>-21</v>
      </c>
      <c r="V16" s="200">
        <v>3</v>
      </c>
    </row>
    <row r="17" spans="1:22" ht="18" thickBot="1">
      <c r="A17" s="63" t="s">
        <v>143</v>
      </c>
      <c r="B17" s="189">
        <v>0</v>
      </c>
      <c r="C17" s="153" t="str">
        <f>IF(B17="","",IF(B17&gt;D17,"〇",IF(B17&lt;D17,"●","△")))</f>
        <v>●</v>
      </c>
      <c r="D17" s="192">
        <v>7</v>
      </c>
      <c r="E17" s="138">
        <v>4</v>
      </c>
      <c r="F17" s="152" t="str">
        <f>IF(E17="","",IF(E17&gt;G17,"〇",IF(E17&lt;G17,"●","△")))</f>
        <v>〇</v>
      </c>
      <c r="G17" s="138">
        <v>1</v>
      </c>
      <c r="H17" s="312"/>
      <c r="I17" s="313"/>
      <c r="J17" s="329"/>
      <c r="K17" s="326"/>
      <c r="L17" s="327"/>
      <c r="M17" s="328"/>
      <c r="N17" s="184">
        <v>2</v>
      </c>
      <c r="O17" s="154">
        <f>IF(N17="","",P17*3+Q17*1)</f>
        <v>3</v>
      </c>
      <c r="P17" s="155">
        <f t="shared" si="3"/>
        <v>1</v>
      </c>
      <c r="Q17" s="155">
        <f t="shared" si="4"/>
        <v>0</v>
      </c>
      <c r="R17" s="155">
        <f t="shared" si="5"/>
        <v>1</v>
      </c>
      <c r="S17" s="160">
        <f>IF(N17="","",SUM(E17,B17,K17))</f>
        <v>4</v>
      </c>
      <c r="T17" s="160">
        <f>IF(N17="","",SUM(G17,D17,M17))</f>
        <v>8</v>
      </c>
      <c r="U17" s="161">
        <f>IF(N17="","",S17-T17)</f>
        <v>-4</v>
      </c>
      <c r="V17" s="202">
        <v>2</v>
      </c>
    </row>
    <row r="18" spans="1:22" ht="18" hidden="1" thickBot="1">
      <c r="A18" s="65"/>
      <c r="B18" s="167"/>
      <c r="C18" s="153"/>
      <c r="D18" s="157"/>
      <c r="E18" s="153"/>
      <c r="F18" s="153"/>
      <c r="G18" s="153"/>
      <c r="H18" s="158"/>
      <c r="I18" s="153"/>
      <c r="J18" s="157"/>
      <c r="K18" s="330"/>
      <c r="L18" s="331"/>
      <c r="M18" s="332"/>
      <c r="N18" s="184"/>
      <c r="O18" s="168" t="str">
        <f>IF(N18="","",P18*3+Q18*1)</f>
        <v/>
      </c>
      <c r="P18" s="160">
        <f>COUNTIF(B18:M18,"○")</f>
        <v>0</v>
      </c>
      <c r="Q18" s="160">
        <f>COUNTIF(B18:M18,"△")</f>
        <v>0</v>
      </c>
      <c r="R18" s="160">
        <f>COUNTIF(B18:M18,"●")</f>
        <v>0</v>
      </c>
      <c r="S18" s="160">
        <f>SUM(B18,E18,H18)</f>
        <v>0</v>
      </c>
      <c r="T18" s="160">
        <f>SUM(D18,G18,J18)</f>
        <v>0</v>
      </c>
      <c r="U18" s="161" t="str">
        <f>IF(N18="","",S18-T18)</f>
        <v/>
      </c>
      <c r="V18" s="202"/>
    </row>
    <row r="19" spans="1:22">
      <c r="A19" s="64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82"/>
      <c r="O19" s="163"/>
      <c r="P19" s="163"/>
      <c r="Q19" s="163"/>
      <c r="R19" s="163"/>
      <c r="S19" s="163"/>
      <c r="T19" s="163"/>
      <c r="U19" s="163"/>
      <c r="V19" s="182"/>
    </row>
    <row r="20" spans="1:22" ht="20.25" customHeight="1" thickBot="1">
      <c r="A20" s="60" t="s">
        <v>203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63"/>
      <c r="L20" s="163"/>
      <c r="M20" s="163"/>
      <c r="N20" s="182"/>
      <c r="O20" s="163"/>
      <c r="P20" s="163"/>
      <c r="Q20" s="163"/>
      <c r="R20" s="163"/>
      <c r="S20" s="163"/>
      <c r="T20" s="163"/>
      <c r="U20" s="163"/>
      <c r="V20" s="182"/>
    </row>
    <row r="21" spans="1:22" ht="20.25" customHeight="1" thickBot="1">
      <c r="A21" s="61" t="s">
        <v>191</v>
      </c>
      <c r="B21" s="315" t="str">
        <f>A22</f>
        <v>入間向陽</v>
      </c>
      <c r="C21" s="316"/>
      <c r="D21" s="317"/>
      <c r="E21" s="318" t="str">
        <f>A23</f>
        <v>秋草学園</v>
      </c>
      <c r="F21" s="316"/>
      <c r="G21" s="317"/>
      <c r="H21" s="318" t="str">
        <f>A24</f>
        <v>市立浦和</v>
      </c>
      <c r="I21" s="316"/>
      <c r="J21" s="317"/>
      <c r="K21" s="318" t="str">
        <f>A25</f>
        <v>和光国際</v>
      </c>
      <c r="L21" s="316"/>
      <c r="M21" s="319"/>
      <c r="N21" s="183" t="s">
        <v>192</v>
      </c>
      <c r="O21" s="140" t="s">
        <v>193</v>
      </c>
      <c r="P21" s="141" t="s">
        <v>194</v>
      </c>
      <c r="Q21" s="142" t="s">
        <v>195</v>
      </c>
      <c r="R21" s="143" t="s">
        <v>196</v>
      </c>
      <c r="S21" s="143" t="s">
        <v>197</v>
      </c>
      <c r="T21" s="143" t="s">
        <v>198</v>
      </c>
      <c r="U21" s="144" t="s">
        <v>199</v>
      </c>
      <c r="V21" s="203" t="s">
        <v>200</v>
      </c>
    </row>
    <row r="22" spans="1:22" ht="20.25" customHeight="1">
      <c r="A22" s="17" t="s">
        <v>255</v>
      </c>
      <c r="B22" s="306"/>
      <c r="C22" s="307"/>
      <c r="D22" s="308"/>
      <c r="E22" s="135">
        <v>8</v>
      </c>
      <c r="F22" s="146" t="str">
        <f>IF(E22="","",IF(E22&gt;G22,"〇",IF(E22&lt;G22,"●","△")))</f>
        <v>〇</v>
      </c>
      <c r="G22" s="135">
        <v>0</v>
      </c>
      <c r="H22" s="195">
        <v>5</v>
      </c>
      <c r="I22" s="146" t="str">
        <f>IF(H22="","",IF(H22&gt;J22,"〇",IF(H22&lt;J22,"●","△")))</f>
        <v>〇</v>
      </c>
      <c r="J22" s="196">
        <v>1</v>
      </c>
      <c r="K22" s="135">
        <v>4</v>
      </c>
      <c r="L22" s="146" t="str">
        <f>IF(K22="","",IF(K22&gt;M22,"〇",IF(K22&lt;M22,"●","△")))</f>
        <v>〇</v>
      </c>
      <c r="M22" s="197">
        <v>0</v>
      </c>
      <c r="N22" s="179">
        <v>3</v>
      </c>
      <c r="O22" s="164">
        <f>IF(N22="","",P22*3+Q22*1)</f>
        <v>9</v>
      </c>
      <c r="P22" s="165">
        <f t="shared" ref="P22:P25" si="6">IF(N22="","",COUNTIF(B22:M22,"〇"))</f>
        <v>3</v>
      </c>
      <c r="Q22" s="171">
        <f t="shared" ref="Q22:Q25" si="7">IF(N22="","",COUNTIF(B22:M22,"△"))</f>
        <v>0</v>
      </c>
      <c r="R22" s="165">
        <f t="shared" ref="R22:R25" si="8">IF(N22="","",COUNTIF(B22:M22,"●"))</f>
        <v>0</v>
      </c>
      <c r="S22" s="165">
        <f>IF(N22="","",SUM(E22,H22,K22))</f>
        <v>17</v>
      </c>
      <c r="T22" s="165">
        <f>IF(N22="","",SUM(G22,J22,M22))</f>
        <v>1</v>
      </c>
      <c r="U22" s="166">
        <f>IF(N22="","",S22-T22)</f>
        <v>16</v>
      </c>
      <c r="V22" s="200">
        <v>1</v>
      </c>
    </row>
    <row r="23" spans="1:22" ht="20.25" customHeight="1">
      <c r="A23" s="17" t="s">
        <v>256</v>
      </c>
      <c r="B23" s="187">
        <v>0</v>
      </c>
      <c r="C23" s="150" t="str">
        <f>IF(B23="","",IF(B23&gt;D23,"〇",IF(B23&lt;D23,"●","△")))</f>
        <v>●</v>
      </c>
      <c r="D23" s="190">
        <v>8</v>
      </c>
      <c r="E23" s="309"/>
      <c r="F23" s="310"/>
      <c r="G23" s="311"/>
      <c r="H23" s="193">
        <v>2</v>
      </c>
      <c r="I23" s="150" t="str">
        <f>IF(H23="","",IF(H23&gt;J23,"〇",IF(H23&lt;J23,"●","△")))</f>
        <v>〇</v>
      </c>
      <c r="J23" s="190">
        <v>1</v>
      </c>
      <c r="K23" s="136">
        <v>1</v>
      </c>
      <c r="L23" s="150" t="str">
        <f>IF(K23="","",IF(K23&gt;M23,"〇",IF(K23&lt;M23,"●","△")))</f>
        <v>●</v>
      </c>
      <c r="M23" s="198">
        <v>2</v>
      </c>
      <c r="N23" s="179">
        <v>3</v>
      </c>
      <c r="O23" s="164">
        <f>IF(N23="","",P23*3+Q23*1)</f>
        <v>3</v>
      </c>
      <c r="P23" s="165">
        <f t="shared" si="6"/>
        <v>1</v>
      </c>
      <c r="Q23" s="171">
        <f t="shared" si="7"/>
        <v>0</v>
      </c>
      <c r="R23" s="165">
        <f t="shared" si="8"/>
        <v>2</v>
      </c>
      <c r="S23" s="165">
        <f>IF(N23="","",SUM(B23,H23,K23))</f>
        <v>3</v>
      </c>
      <c r="T23" s="165">
        <f>IF(N23="","",SUM(D23,J23,M23))</f>
        <v>11</v>
      </c>
      <c r="U23" s="149">
        <f>IF(N23="","",S23-T23)</f>
        <v>-8</v>
      </c>
      <c r="V23" s="200">
        <v>3</v>
      </c>
    </row>
    <row r="24" spans="1:22" ht="20.25" customHeight="1">
      <c r="A24" s="17" t="s">
        <v>257</v>
      </c>
      <c r="B24" s="188">
        <v>1</v>
      </c>
      <c r="C24" s="151" t="str">
        <f>IF(B24="","",IF(B24&gt;D24,"〇",IF(B24&lt;D24,"●","△")))</f>
        <v>●</v>
      </c>
      <c r="D24" s="191">
        <v>5</v>
      </c>
      <c r="E24" s="137">
        <v>1</v>
      </c>
      <c r="F24" s="151" t="str">
        <f>IF(E24="","",IF(E24&gt;G24,"〇",IF(E24&lt;G24,"●","△")))</f>
        <v>●</v>
      </c>
      <c r="G24" s="137">
        <v>2</v>
      </c>
      <c r="H24" s="309"/>
      <c r="I24" s="310"/>
      <c r="J24" s="311"/>
      <c r="K24" s="137">
        <v>1</v>
      </c>
      <c r="L24" s="151" t="str">
        <f>IF(K24="","",IF(K24&gt;M24,"〇",IF(K24&lt;M24,"●","△")))</f>
        <v>△</v>
      </c>
      <c r="M24" s="199">
        <v>1</v>
      </c>
      <c r="N24" s="179">
        <v>3</v>
      </c>
      <c r="O24" s="147">
        <f>IF(N24="","",P24*3+Q24*1)</f>
        <v>1</v>
      </c>
      <c r="P24" s="172">
        <f t="shared" si="6"/>
        <v>0</v>
      </c>
      <c r="Q24" s="148">
        <f t="shared" si="7"/>
        <v>1</v>
      </c>
      <c r="R24" s="148">
        <f t="shared" si="8"/>
        <v>2</v>
      </c>
      <c r="S24" s="148">
        <f>IF(N24="","",SUM(E24,B24,K24))</f>
        <v>3</v>
      </c>
      <c r="T24" s="148">
        <f>IF(N24="","",SUM(G24,D24,M24))</f>
        <v>8</v>
      </c>
      <c r="U24" s="149">
        <f>IF(N24="","",S24-T24)</f>
        <v>-5</v>
      </c>
      <c r="V24" s="200">
        <v>4</v>
      </c>
    </row>
    <row r="25" spans="1:22" ht="20.25" customHeight="1" thickBot="1">
      <c r="A25" s="242" t="s">
        <v>258</v>
      </c>
      <c r="B25" s="189">
        <v>0</v>
      </c>
      <c r="C25" s="152" t="str">
        <f>IF(B25="","",IF(B25&gt;D25,"〇",IF(B25&lt;D25,"●","△")))</f>
        <v>●</v>
      </c>
      <c r="D25" s="192">
        <v>4</v>
      </c>
      <c r="E25" s="138">
        <v>2</v>
      </c>
      <c r="F25" s="152" t="str">
        <f>IF(E25="","",IF(E25&gt;G25,"〇",IF(E25&lt;G25,"●","△")))</f>
        <v>〇</v>
      </c>
      <c r="G25" s="138">
        <v>1</v>
      </c>
      <c r="H25" s="194">
        <v>1</v>
      </c>
      <c r="I25" s="152" t="str">
        <f>IF(H25="","",IF(H25&gt;J25,"〇",IF(H25&lt;J25,"●","△")))</f>
        <v>△</v>
      </c>
      <c r="J25" s="192">
        <v>1</v>
      </c>
      <c r="K25" s="312"/>
      <c r="L25" s="313"/>
      <c r="M25" s="314"/>
      <c r="N25" s="184">
        <v>3</v>
      </c>
      <c r="O25" s="154">
        <f>IF(N25="","",P25*3+Q25*1)</f>
        <v>4</v>
      </c>
      <c r="P25" s="155">
        <f t="shared" si="6"/>
        <v>1</v>
      </c>
      <c r="Q25" s="155">
        <f t="shared" si="7"/>
        <v>1</v>
      </c>
      <c r="R25" s="155">
        <f t="shared" si="8"/>
        <v>1</v>
      </c>
      <c r="S25" s="155">
        <f>IF(N25="","",SUM(E25,H25,B25))</f>
        <v>3</v>
      </c>
      <c r="T25" s="155">
        <f>IF(N25="","",SUM(G25,J25,D25))</f>
        <v>6</v>
      </c>
      <c r="U25" s="156">
        <f>IF(N25="","",S25-T25)</f>
        <v>-3</v>
      </c>
      <c r="V25" s="201">
        <v>2</v>
      </c>
    </row>
    <row r="26" spans="1:22" ht="20.25" customHeight="1">
      <c r="A26" s="68"/>
      <c r="B26" s="163"/>
      <c r="C26" s="170"/>
      <c r="D26" s="170"/>
      <c r="E26" s="170"/>
      <c r="F26" s="170"/>
      <c r="G26" s="170"/>
      <c r="H26" s="170"/>
      <c r="I26" s="170"/>
      <c r="J26" s="170"/>
      <c r="K26" s="163"/>
      <c r="L26" s="163"/>
      <c r="M26" s="163"/>
      <c r="N26" s="182"/>
      <c r="O26" s="163"/>
      <c r="P26" s="163"/>
      <c r="Q26" s="163"/>
      <c r="R26" s="163"/>
      <c r="S26" s="163"/>
      <c r="T26" s="163"/>
      <c r="U26" s="163"/>
      <c r="V26" s="182"/>
    </row>
    <row r="27" spans="1:22" ht="20.25" customHeight="1" thickBot="1">
      <c r="A27" s="60" t="s">
        <v>204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63"/>
      <c r="L27" s="163"/>
      <c r="M27" s="163"/>
      <c r="N27" s="182"/>
      <c r="O27" s="163"/>
      <c r="P27" s="163"/>
      <c r="Q27" s="163"/>
      <c r="R27" s="163"/>
      <c r="S27" s="163"/>
      <c r="T27" s="163"/>
      <c r="U27" s="163"/>
      <c r="V27" s="182"/>
    </row>
    <row r="28" spans="1:22" ht="20.25" customHeight="1" thickBot="1">
      <c r="A28" s="61" t="s">
        <v>191</v>
      </c>
      <c r="B28" s="315" t="str">
        <f>A29</f>
        <v>本庄第一</v>
      </c>
      <c r="C28" s="316"/>
      <c r="D28" s="317"/>
      <c r="E28" s="318" t="str">
        <f>A30</f>
        <v>宮代</v>
      </c>
      <c r="F28" s="316"/>
      <c r="G28" s="317"/>
      <c r="H28" s="318" t="str">
        <f>A31</f>
        <v>越ヶ谷</v>
      </c>
      <c r="I28" s="316"/>
      <c r="J28" s="317"/>
      <c r="K28" s="318" t="str">
        <f>A32</f>
        <v>所沢</v>
      </c>
      <c r="L28" s="316"/>
      <c r="M28" s="319"/>
      <c r="N28" s="183" t="s">
        <v>192</v>
      </c>
      <c r="O28" s="140" t="s">
        <v>193</v>
      </c>
      <c r="P28" s="141" t="s">
        <v>194</v>
      </c>
      <c r="Q28" s="142" t="s">
        <v>195</v>
      </c>
      <c r="R28" s="143" t="s">
        <v>196</v>
      </c>
      <c r="S28" s="143" t="s">
        <v>197</v>
      </c>
      <c r="T28" s="143" t="s">
        <v>198</v>
      </c>
      <c r="U28" s="210" t="s">
        <v>199</v>
      </c>
      <c r="V28" s="203" t="s">
        <v>200</v>
      </c>
    </row>
    <row r="29" spans="1:22" ht="20.25" customHeight="1">
      <c r="A29" s="66" t="s">
        <v>259</v>
      </c>
      <c r="B29" s="306"/>
      <c r="C29" s="307"/>
      <c r="D29" s="308"/>
      <c r="E29" s="135">
        <v>18</v>
      </c>
      <c r="F29" s="146" t="str">
        <f>IF(E29="","",IF(E29&gt;G29,"〇",IF(E29&lt;G29,"●","△")))</f>
        <v>〇</v>
      </c>
      <c r="G29" s="135">
        <v>0</v>
      </c>
      <c r="H29" s="195">
        <v>14</v>
      </c>
      <c r="I29" s="146" t="str">
        <f>IF(H29="","",IF(H29&gt;J29,"〇",IF(H29&lt;J29,"●","△")))</f>
        <v>〇</v>
      </c>
      <c r="J29" s="196">
        <v>0</v>
      </c>
      <c r="K29" s="135">
        <v>12</v>
      </c>
      <c r="L29" s="146" t="str">
        <f>IF(K29="","",IF(K29&gt;M29,"〇",IF(K29&lt;M29,"●","△")))</f>
        <v>〇</v>
      </c>
      <c r="M29" s="197">
        <v>0</v>
      </c>
      <c r="N29" s="179">
        <v>3</v>
      </c>
      <c r="O29" s="147">
        <f>IF(N29="","",P29*3+Q29*1)</f>
        <v>9</v>
      </c>
      <c r="P29" s="148">
        <f t="shared" ref="P29:P32" si="9">IF(N29="","",COUNTIF(B29:M29,"〇"))</f>
        <v>3</v>
      </c>
      <c r="Q29" s="148">
        <f t="shared" ref="Q29:Q32" si="10">IF(N29="","",COUNTIF(B29:M29,"△"))</f>
        <v>0</v>
      </c>
      <c r="R29" s="148">
        <f t="shared" ref="R29:R32" si="11">IF(N29="","",COUNTIF(B29:M29,"●"))</f>
        <v>0</v>
      </c>
      <c r="S29" s="148">
        <f>IF(N29="","",SUM(E29,H29,K29))</f>
        <v>44</v>
      </c>
      <c r="T29" s="148">
        <f>IF(N29="","",SUM(G29,J29,M29))</f>
        <v>0</v>
      </c>
      <c r="U29" s="174">
        <f>IF(N29="","",S29-T29)</f>
        <v>44</v>
      </c>
      <c r="V29" s="204">
        <v>1</v>
      </c>
    </row>
    <row r="30" spans="1:22" ht="20.25" customHeight="1">
      <c r="A30" s="66" t="s">
        <v>260</v>
      </c>
      <c r="B30" s="187">
        <v>0</v>
      </c>
      <c r="C30" s="150" t="str">
        <f>IF(B30="","",IF(B30&gt;D30,"〇",IF(B30&lt;D30,"●","△")))</f>
        <v>●</v>
      </c>
      <c r="D30" s="190">
        <v>18</v>
      </c>
      <c r="E30" s="309"/>
      <c r="F30" s="310"/>
      <c r="G30" s="311"/>
      <c r="H30" s="193">
        <v>0</v>
      </c>
      <c r="I30" s="150" t="str">
        <f>IF(H30="","",IF(H30&gt;J30,"〇",IF(H30&lt;J30,"●","△")))</f>
        <v>●</v>
      </c>
      <c r="J30" s="190">
        <v>2</v>
      </c>
      <c r="K30" s="136">
        <v>1</v>
      </c>
      <c r="L30" s="150" t="str">
        <f>IF(K30="","",IF(K30&gt;M30,"〇",IF(K30&lt;M30,"●","△")))</f>
        <v>●</v>
      </c>
      <c r="M30" s="198">
        <v>2</v>
      </c>
      <c r="N30" s="179">
        <v>3</v>
      </c>
      <c r="O30" s="147">
        <f>IF(N30="","",P30*3+Q30*1)</f>
        <v>0</v>
      </c>
      <c r="P30" s="148">
        <f t="shared" si="9"/>
        <v>0</v>
      </c>
      <c r="Q30" s="148">
        <f t="shared" si="10"/>
        <v>0</v>
      </c>
      <c r="R30" s="148">
        <f t="shared" si="11"/>
        <v>3</v>
      </c>
      <c r="S30" s="148">
        <f>IF(N30="","",SUM(B30,H30,K30))</f>
        <v>1</v>
      </c>
      <c r="T30" s="148">
        <f>IF(N30="","",SUM(D30,J30,M30))</f>
        <v>22</v>
      </c>
      <c r="U30" s="174">
        <f>IF(N30="","",S30-T30)</f>
        <v>-21</v>
      </c>
      <c r="V30" s="204">
        <v>4</v>
      </c>
    </row>
    <row r="31" spans="1:22" ht="20.25" customHeight="1">
      <c r="A31" s="66" t="s">
        <v>261</v>
      </c>
      <c r="B31" s="188">
        <v>0</v>
      </c>
      <c r="C31" s="151" t="str">
        <f>IF(B31="","",IF(B31&gt;D31,"〇",IF(B31&lt;D31,"●","△")))</f>
        <v>●</v>
      </c>
      <c r="D31" s="191">
        <v>14</v>
      </c>
      <c r="E31" s="137">
        <v>2</v>
      </c>
      <c r="F31" s="151" t="str">
        <f>IF(E31="","",IF(E31&gt;G31,"〇",IF(E31&lt;G31,"●","△")))</f>
        <v>〇</v>
      </c>
      <c r="G31" s="137">
        <v>0</v>
      </c>
      <c r="H31" s="309"/>
      <c r="I31" s="310"/>
      <c r="J31" s="311"/>
      <c r="K31" s="137">
        <v>3</v>
      </c>
      <c r="L31" s="151" t="str">
        <f>IF(K31="","",IF(K31&gt;M31,"〇",IF(K31&lt;M31,"●","△")))</f>
        <v>〇</v>
      </c>
      <c r="M31" s="199">
        <v>0</v>
      </c>
      <c r="N31" s="179">
        <v>3</v>
      </c>
      <c r="O31" s="147">
        <f>IF(N31="","",P31*3+Q31*1)</f>
        <v>6</v>
      </c>
      <c r="P31" s="148">
        <f t="shared" si="9"/>
        <v>2</v>
      </c>
      <c r="Q31" s="148">
        <f t="shared" si="10"/>
        <v>0</v>
      </c>
      <c r="R31" s="148">
        <f t="shared" si="11"/>
        <v>1</v>
      </c>
      <c r="S31" s="148">
        <f>IF(N31="","",SUM(E31,B31,K31))</f>
        <v>5</v>
      </c>
      <c r="T31" s="148">
        <f>IF(N31="","",SUM(G31,D31,M31))</f>
        <v>14</v>
      </c>
      <c r="U31" s="174">
        <f>IF(N31="","",S31-T31)</f>
        <v>-9</v>
      </c>
      <c r="V31" s="204">
        <v>2</v>
      </c>
    </row>
    <row r="32" spans="1:22" ht="20.25" customHeight="1" thickBot="1">
      <c r="A32" s="63" t="s">
        <v>262</v>
      </c>
      <c r="B32" s="189">
        <v>0</v>
      </c>
      <c r="C32" s="152" t="str">
        <f>IF(B32="","",IF(B32&gt;D32,"〇",IF(B32&lt;D32,"●","△")))</f>
        <v>●</v>
      </c>
      <c r="D32" s="192">
        <v>12</v>
      </c>
      <c r="E32" s="138">
        <v>2</v>
      </c>
      <c r="F32" s="152" t="str">
        <f>IF(E32="","",IF(E32&gt;G32,"〇",IF(E32&lt;G32,"●","△")))</f>
        <v>〇</v>
      </c>
      <c r="G32" s="138">
        <v>1</v>
      </c>
      <c r="H32" s="194">
        <v>0</v>
      </c>
      <c r="I32" s="152" t="str">
        <f>IF(H32="","",IF(H32&gt;J32,"〇",IF(H32&lt;J32,"●","△")))</f>
        <v>●</v>
      </c>
      <c r="J32" s="192">
        <v>3</v>
      </c>
      <c r="K32" s="312"/>
      <c r="L32" s="313"/>
      <c r="M32" s="314"/>
      <c r="N32" s="180">
        <v>3</v>
      </c>
      <c r="O32" s="154">
        <f>IF(N32="","",P32*3+Q32*1)</f>
        <v>3</v>
      </c>
      <c r="P32" s="155">
        <f t="shared" si="9"/>
        <v>1</v>
      </c>
      <c r="Q32" s="155">
        <f t="shared" si="10"/>
        <v>0</v>
      </c>
      <c r="R32" s="155">
        <f t="shared" si="11"/>
        <v>2</v>
      </c>
      <c r="S32" s="155">
        <f>IF(N32="","",SUM(E32,H32,B32))</f>
        <v>2</v>
      </c>
      <c r="T32" s="155">
        <f>IF(N32="","",SUM(G32,J32,D32))</f>
        <v>16</v>
      </c>
      <c r="U32" s="175">
        <f>IF(N32="","",S32-T32)</f>
        <v>-14</v>
      </c>
      <c r="V32" s="201">
        <v>3</v>
      </c>
    </row>
    <row r="33" spans="1:22" ht="20.25" customHeight="1">
      <c r="A33" s="69"/>
      <c r="B33" s="176"/>
      <c r="C33" s="169"/>
      <c r="D33" s="169"/>
      <c r="E33" s="169"/>
      <c r="F33" s="169"/>
      <c r="G33" s="169"/>
      <c r="H33" s="169"/>
      <c r="I33" s="169"/>
      <c r="J33" s="169"/>
      <c r="K33" s="163"/>
      <c r="L33" s="163"/>
      <c r="M33" s="163"/>
      <c r="N33" s="182"/>
      <c r="O33" s="163"/>
      <c r="P33" s="163"/>
      <c r="Q33" s="163"/>
      <c r="R33" s="163"/>
      <c r="S33" s="163"/>
      <c r="T33" s="163"/>
      <c r="U33" s="163"/>
      <c r="V33" s="182"/>
    </row>
    <row r="34" spans="1:22" ht="20.25" customHeight="1" thickBot="1">
      <c r="A34" s="60" t="s">
        <v>205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63"/>
      <c r="L34" s="163"/>
      <c r="M34" s="163"/>
      <c r="N34" s="182"/>
      <c r="O34" s="163"/>
      <c r="P34" s="163"/>
      <c r="Q34" s="163"/>
      <c r="R34" s="163"/>
      <c r="S34" s="163"/>
      <c r="T34" s="163"/>
      <c r="U34" s="163"/>
      <c r="V34" s="182"/>
    </row>
    <row r="35" spans="1:22" ht="20.25" customHeight="1" thickBot="1">
      <c r="A35" s="61" t="s">
        <v>206</v>
      </c>
      <c r="B35" s="315" t="str">
        <f>A36</f>
        <v>南稜</v>
      </c>
      <c r="C35" s="316"/>
      <c r="D35" s="317"/>
      <c r="E35" s="318" t="str">
        <f>A37</f>
        <v>川口総合</v>
      </c>
      <c r="F35" s="316"/>
      <c r="G35" s="317"/>
      <c r="H35" s="318" t="str">
        <f>A38</f>
        <v>大宮武蔵野</v>
      </c>
      <c r="I35" s="316"/>
      <c r="J35" s="317"/>
      <c r="K35" s="318" t="str">
        <f>A39</f>
        <v>自由の森</v>
      </c>
      <c r="L35" s="316"/>
      <c r="M35" s="319"/>
      <c r="N35" s="183" t="s">
        <v>192</v>
      </c>
      <c r="O35" s="140" t="s">
        <v>207</v>
      </c>
      <c r="P35" s="141" t="s">
        <v>208</v>
      </c>
      <c r="Q35" s="142" t="s">
        <v>209</v>
      </c>
      <c r="R35" s="143" t="s">
        <v>210</v>
      </c>
      <c r="S35" s="143" t="s">
        <v>211</v>
      </c>
      <c r="T35" s="143" t="s">
        <v>212</v>
      </c>
      <c r="U35" s="173" t="s">
        <v>213</v>
      </c>
      <c r="V35" s="203" t="s">
        <v>214</v>
      </c>
    </row>
    <row r="36" spans="1:22" ht="20.25" customHeight="1">
      <c r="A36" s="66" t="s">
        <v>263</v>
      </c>
      <c r="B36" s="306"/>
      <c r="C36" s="307"/>
      <c r="D36" s="308"/>
      <c r="E36" s="135">
        <v>0</v>
      </c>
      <c r="F36" s="146" t="str">
        <f>IF(E36="","",IF(E36&gt;G36,"〇",IF(E36&lt;G36,"●","△")))</f>
        <v>△</v>
      </c>
      <c r="G36" s="135">
        <v>0</v>
      </c>
      <c r="H36" s="195">
        <v>8</v>
      </c>
      <c r="I36" s="146" t="str">
        <f>IF(H36="","",IF(H36&gt;J36,"〇",IF(H36&lt;J36,"●","△")))</f>
        <v>〇</v>
      </c>
      <c r="J36" s="196">
        <v>0</v>
      </c>
      <c r="K36" s="135">
        <v>15</v>
      </c>
      <c r="L36" s="146" t="str">
        <f>IF(K36="","",IF(K36&gt;M36,"〇",IF(K36&lt;M36,"●","△")))</f>
        <v>〇</v>
      </c>
      <c r="M36" s="197">
        <v>0</v>
      </c>
      <c r="N36" s="179">
        <v>3</v>
      </c>
      <c r="O36" s="147">
        <f>IF(N36="","",P36*3+Q36*1)</f>
        <v>7</v>
      </c>
      <c r="P36" s="148">
        <f t="shared" ref="P36:P39" si="12">IF(N36="","",COUNTIF(B36:M36,"〇"))</f>
        <v>2</v>
      </c>
      <c r="Q36" s="148">
        <f t="shared" ref="Q36:Q39" si="13">IF(N36="","",COUNTIF(B36:M36,"△"))</f>
        <v>1</v>
      </c>
      <c r="R36" s="148">
        <f t="shared" ref="R36:R39" si="14">IF(N36="","",COUNTIF(B36:M36,"●"))</f>
        <v>0</v>
      </c>
      <c r="S36" s="148">
        <f>IF(N36="","",SUM(E36,H36,K36))</f>
        <v>23</v>
      </c>
      <c r="T36" s="148">
        <f>IF(N36="","",SUM(G36,J36,M36))</f>
        <v>0</v>
      </c>
      <c r="U36" s="174">
        <f>IF(N36="","",S36-T36)</f>
        <v>23</v>
      </c>
      <c r="V36" s="204">
        <v>2</v>
      </c>
    </row>
    <row r="37" spans="1:22" ht="20.25" customHeight="1">
      <c r="A37" s="66" t="s">
        <v>264</v>
      </c>
      <c r="B37" s="187">
        <v>0</v>
      </c>
      <c r="C37" s="150" t="str">
        <f>IF(B37="","",IF(B37&gt;D37,"〇",IF(B37&lt;D37,"●","△")))</f>
        <v>△</v>
      </c>
      <c r="D37" s="190">
        <v>0</v>
      </c>
      <c r="E37" s="309"/>
      <c r="F37" s="310"/>
      <c r="G37" s="311"/>
      <c r="H37" s="193">
        <v>15</v>
      </c>
      <c r="I37" s="146" t="str">
        <f>IF(H37="","",IF(H37&gt;J37,"〇",IF(H37&lt;J37,"●","△")))</f>
        <v>〇</v>
      </c>
      <c r="J37" s="190">
        <v>0</v>
      </c>
      <c r="K37" s="136">
        <v>10</v>
      </c>
      <c r="L37" s="150" t="str">
        <f>IF(K37="","",IF(K37&gt;M37,"〇",IF(K37&lt;M37,"●","△")))</f>
        <v>〇</v>
      </c>
      <c r="M37" s="198">
        <v>0</v>
      </c>
      <c r="N37" s="179">
        <v>3</v>
      </c>
      <c r="O37" s="147">
        <f>IF(N37="","",P37*3+Q37*1)</f>
        <v>7</v>
      </c>
      <c r="P37" s="148">
        <f t="shared" si="12"/>
        <v>2</v>
      </c>
      <c r="Q37" s="148">
        <f t="shared" si="13"/>
        <v>1</v>
      </c>
      <c r="R37" s="148">
        <f t="shared" si="14"/>
        <v>0</v>
      </c>
      <c r="S37" s="148">
        <f>IF(N37="","",SUM(B37,H37,K37))</f>
        <v>25</v>
      </c>
      <c r="T37" s="148">
        <f>IF(N37="","",SUM(D37,J37,M37))</f>
        <v>0</v>
      </c>
      <c r="U37" s="174">
        <f>IF(N37="","",S37-T37)</f>
        <v>25</v>
      </c>
      <c r="V37" s="204">
        <v>1</v>
      </c>
    </row>
    <row r="38" spans="1:22" ht="20.25" customHeight="1">
      <c r="A38" s="66" t="s">
        <v>265</v>
      </c>
      <c r="B38" s="188">
        <v>0</v>
      </c>
      <c r="C38" s="151" t="str">
        <f>IF(B38="","",IF(B38&gt;D38,"〇",IF(B38&lt;D38,"●","△")))</f>
        <v>●</v>
      </c>
      <c r="D38" s="191">
        <v>8</v>
      </c>
      <c r="E38" s="137">
        <v>0</v>
      </c>
      <c r="F38" s="151" t="str">
        <f>IF(E38="","",IF(E38&gt;G38,"〇",IF(E38&lt;G38,"●","△")))</f>
        <v>●</v>
      </c>
      <c r="G38" s="137">
        <v>15</v>
      </c>
      <c r="H38" s="309"/>
      <c r="I38" s="310"/>
      <c r="J38" s="311"/>
      <c r="K38" s="137">
        <v>2</v>
      </c>
      <c r="L38" s="151" t="str">
        <f>IF(K38="","",IF(K38&gt;M38,"〇",IF(K38&lt;M38,"●","△")))</f>
        <v>〇</v>
      </c>
      <c r="M38" s="199">
        <v>0</v>
      </c>
      <c r="N38" s="179">
        <v>3</v>
      </c>
      <c r="O38" s="147">
        <f>IF(N38="","",P38*3+Q38*1)</f>
        <v>3</v>
      </c>
      <c r="P38" s="148">
        <f t="shared" si="12"/>
        <v>1</v>
      </c>
      <c r="Q38" s="148">
        <f t="shared" si="13"/>
        <v>0</v>
      </c>
      <c r="R38" s="148">
        <f t="shared" si="14"/>
        <v>2</v>
      </c>
      <c r="S38" s="148">
        <f>IF(N38="","",SUM(E38,B38,K38))</f>
        <v>2</v>
      </c>
      <c r="T38" s="148">
        <f>IF(N38="","",SUM(G38,D38,M38))</f>
        <v>23</v>
      </c>
      <c r="U38" s="174">
        <f>IF(N38="","",S38-T38)</f>
        <v>-21</v>
      </c>
      <c r="V38" s="204">
        <v>3</v>
      </c>
    </row>
    <row r="39" spans="1:22" ht="20.25" customHeight="1" thickBot="1">
      <c r="A39" s="63" t="s">
        <v>266</v>
      </c>
      <c r="B39" s="189">
        <v>0</v>
      </c>
      <c r="C39" s="152" t="str">
        <f>IF(B39="","",IF(B39&gt;D39,"〇",IF(B39&lt;D39,"●","△")))</f>
        <v>●</v>
      </c>
      <c r="D39" s="192">
        <v>15</v>
      </c>
      <c r="E39" s="138">
        <v>0</v>
      </c>
      <c r="F39" s="152" t="str">
        <f>IF(E39="","",IF(E39&gt;G39,"〇",IF(E39&lt;G39,"●","△")))</f>
        <v>●</v>
      </c>
      <c r="G39" s="138">
        <v>10</v>
      </c>
      <c r="H39" s="194">
        <v>0</v>
      </c>
      <c r="I39" s="152" t="str">
        <f>IF(H39="","",IF(H39&gt;J39,"〇",IF(H39&lt;J39,"●","△")))</f>
        <v>●</v>
      </c>
      <c r="J39" s="192">
        <v>2</v>
      </c>
      <c r="K39" s="312"/>
      <c r="L39" s="313"/>
      <c r="M39" s="314"/>
      <c r="N39" s="180">
        <v>3</v>
      </c>
      <c r="O39" s="154">
        <f>IF(N39="","",P39*3+Q39*1)</f>
        <v>0</v>
      </c>
      <c r="P39" s="155">
        <f t="shared" si="12"/>
        <v>0</v>
      </c>
      <c r="Q39" s="155">
        <f t="shared" si="13"/>
        <v>0</v>
      </c>
      <c r="R39" s="155">
        <f t="shared" si="14"/>
        <v>3</v>
      </c>
      <c r="S39" s="155">
        <f>IF(N39="","",SUM(E39,H39,B39))</f>
        <v>0</v>
      </c>
      <c r="T39" s="155">
        <f>IF(N39="","",SUM(G39,J39,D39))</f>
        <v>27</v>
      </c>
      <c r="U39" s="175">
        <f>IF(N39="","",S39-T39)</f>
        <v>-27</v>
      </c>
      <c r="V39" s="201">
        <v>4</v>
      </c>
    </row>
    <row r="40" spans="1:22" ht="20.25" customHeight="1">
      <c r="A40" s="69"/>
      <c r="B40" s="176"/>
      <c r="C40" s="169"/>
      <c r="D40" s="169"/>
      <c r="E40" s="169"/>
      <c r="F40" s="169"/>
      <c r="G40" s="169"/>
      <c r="H40" s="169"/>
      <c r="I40" s="169"/>
      <c r="J40" s="169"/>
      <c r="K40" s="163"/>
      <c r="L40" s="163"/>
      <c r="M40" s="163"/>
      <c r="N40" s="182"/>
      <c r="O40" s="163"/>
      <c r="P40" s="163"/>
      <c r="Q40" s="163"/>
      <c r="R40" s="163"/>
      <c r="S40" s="163"/>
      <c r="T40" s="163"/>
      <c r="U40" s="163"/>
      <c r="V40" s="182"/>
    </row>
    <row r="41" spans="1:22" ht="20.25" customHeight="1" thickBot="1">
      <c r="A41" s="60" t="s">
        <v>215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63"/>
      <c r="L41" s="163"/>
      <c r="M41" s="163"/>
      <c r="N41" s="182"/>
      <c r="O41" s="163"/>
      <c r="P41" s="163"/>
      <c r="Q41" s="163"/>
      <c r="R41" s="163"/>
      <c r="S41" s="163"/>
      <c r="T41" s="163"/>
      <c r="U41" s="163"/>
      <c r="V41" s="182"/>
    </row>
    <row r="42" spans="1:22" ht="20.25" customHeight="1" thickBot="1">
      <c r="A42" s="61" t="s">
        <v>216</v>
      </c>
      <c r="B42" s="315" t="str">
        <f>A43</f>
        <v>埼玉平成</v>
      </c>
      <c r="C42" s="316"/>
      <c r="D42" s="317"/>
      <c r="E42" s="318" t="str">
        <f>A44</f>
        <v>大妻嵐山</v>
      </c>
      <c r="F42" s="316"/>
      <c r="G42" s="317"/>
      <c r="H42" s="318" t="str">
        <f>A45</f>
        <v>寄・北・農</v>
      </c>
      <c r="I42" s="316"/>
      <c r="J42" s="317"/>
      <c r="K42" s="318" t="str">
        <f>A46</f>
        <v>庄和</v>
      </c>
      <c r="L42" s="316"/>
      <c r="M42" s="319"/>
      <c r="N42" s="183" t="s">
        <v>192</v>
      </c>
      <c r="O42" s="140" t="s">
        <v>207</v>
      </c>
      <c r="P42" s="141" t="s">
        <v>217</v>
      </c>
      <c r="Q42" s="142" t="s">
        <v>218</v>
      </c>
      <c r="R42" s="143" t="s">
        <v>219</v>
      </c>
      <c r="S42" s="143" t="s">
        <v>220</v>
      </c>
      <c r="T42" s="143" t="s">
        <v>221</v>
      </c>
      <c r="U42" s="173" t="s">
        <v>222</v>
      </c>
      <c r="V42" s="203" t="s">
        <v>223</v>
      </c>
    </row>
    <row r="43" spans="1:22" ht="20.25" customHeight="1">
      <c r="A43" s="66" t="s">
        <v>267</v>
      </c>
      <c r="B43" s="306"/>
      <c r="C43" s="307"/>
      <c r="D43" s="308"/>
      <c r="E43" s="135">
        <v>8</v>
      </c>
      <c r="F43" s="146" t="str">
        <f>IF(E43="","",IF(E43&gt;G43,"〇",IF(E43&lt;G43,"●","△")))</f>
        <v>〇</v>
      </c>
      <c r="G43" s="135">
        <v>0</v>
      </c>
      <c r="H43" s="195">
        <v>8</v>
      </c>
      <c r="I43" s="146" t="str">
        <f>IF(H43="","",IF(H43&gt;J43,"〇",IF(H43&lt;J43,"●","△")))</f>
        <v>〇</v>
      </c>
      <c r="J43" s="196">
        <v>0</v>
      </c>
      <c r="K43" s="135">
        <v>7</v>
      </c>
      <c r="L43" s="146" t="str">
        <f>IF(K43="","",IF(K43&gt;M43,"〇",IF(K43&lt;M43,"●","△")))</f>
        <v>〇</v>
      </c>
      <c r="M43" s="197">
        <v>0</v>
      </c>
      <c r="N43" s="179">
        <v>3</v>
      </c>
      <c r="O43" s="147">
        <f>IF(N43="","",P43*3+Q43*1)</f>
        <v>9</v>
      </c>
      <c r="P43" s="148">
        <f t="shared" ref="P43:P46" si="15">IF(N43="","",COUNTIF(B43:M43,"〇"))</f>
        <v>3</v>
      </c>
      <c r="Q43" s="148">
        <f t="shared" ref="Q43:Q46" si="16">IF(N43="","",COUNTIF(B43:M43,"△"))</f>
        <v>0</v>
      </c>
      <c r="R43" s="148">
        <f t="shared" ref="R43:R46" si="17">IF(N43="","",COUNTIF(B43:M43,"●"))</f>
        <v>0</v>
      </c>
      <c r="S43" s="148">
        <f>IF(N43="","",SUM(E43,H43,K43))</f>
        <v>23</v>
      </c>
      <c r="T43" s="148">
        <f>IF(N43="","",SUM(G43,J43,M43))</f>
        <v>0</v>
      </c>
      <c r="U43" s="174">
        <f>IF(N43="","",S43-T43)</f>
        <v>23</v>
      </c>
      <c r="V43" s="204">
        <v>1</v>
      </c>
    </row>
    <row r="44" spans="1:22" ht="20.25" customHeight="1">
      <c r="A44" s="66" t="s">
        <v>268</v>
      </c>
      <c r="B44" s="187">
        <v>0</v>
      </c>
      <c r="C44" s="150" t="str">
        <f>IF(B44="","",IF(B44&gt;D44,"〇",IF(B44&lt;D44,"●","△")))</f>
        <v>●</v>
      </c>
      <c r="D44" s="190">
        <v>8</v>
      </c>
      <c r="E44" s="309"/>
      <c r="F44" s="310"/>
      <c r="G44" s="311"/>
      <c r="H44" s="193">
        <v>0</v>
      </c>
      <c r="I44" s="150" t="str">
        <f>IF(H44="","",IF(H44&gt;J44,"〇",IF(H44&lt;J44,"●","△")))</f>
        <v>●</v>
      </c>
      <c r="J44" s="190">
        <v>3</v>
      </c>
      <c r="K44" s="136">
        <v>1</v>
      </c>
      <c r="L44" s="150" t="str">
        <f>IF(K44="","",IF(K44&gt;M44,"〇",IF(K44&lt;M44,"●","△")))</f>
        <v>△</v>
      </c>
      <c r="M44" s="198">
        <v>1</v>
      </c>
      <c r="N44" s="179">
        <v>3</v>
      </c>
      <c r="O44" s="147">
        <f>IF(N44="","",P44*3+Q44*1)</f>
        <v>1</v>
      </c>
      <c r="P44" s="148">
        <f t="shared" si="15"/>
        <v>0</v>
      </c>
      <c r="Q44" s="148">
        <f t="shared" si="16"/>
        <v>1</v>
      </c>
      <c r="R44" s="148">
        <f t="shared" si="17"/>
        <v>2</v>
      </c>
      <c r="S44" s="148">
        <f>IF(N44="","",SUM(B44,H44,K44))</f>
        <v>1</v>
      </c>
      <c r="T44" s="148">
        <f>IF(N44="","",SUM(D44,J44,M44))</f>
        <v>12</v>
      </c>
      <c r="U44" s="174">
        <f>IF(N44="","",S44-T44)</f>
        <v>-11</v>
      </c>
      <c r="V44" s="204">
        <v>4</v>
      </c>
    </row>
    <row r="45" spans="1:22" ht="20.25" customHeight="1">
      <c r="A45" s="66" t="s">
        <v>269</v>
      </c>
      <c r="B45" s="188">
        <v>0</v>
      </c>
      <c r="C45" s="151" t="str">
        <f>IF(B45="","",IF(B45&gt;D45,"〇",IF(B45&lt;D45,"●","△")))</f>
        <v>●</v>
      </c>
      <c r="D45" s="191">
        <v>8</v>
      </c>
      <c r="E45" s="137">
        <v>3</v>
      </c>
      <c r="F45" s="151" t="str">
        <f>IF(E45="","",IF(E45&gt;G45,"〇",IF(E45&lt;G45,"●","△")))</f>
        <v>〇</v>
      </c>
      <c r="G45" s="137">
        <v>0</v>
      </c>
      <c r="H45" s="309"/>
      <c r="I45" s="310"/>
      <c r="J45" s="311"/>
      <c r="K45" s="137">
        <v>1</v>
      </c>
      <c r="L45" s="151" t="str">
        <f>IF(K45="","",IF(K45&gt;M45,"〇",IF(K45&lt;M45,"●","△")))</f>
        <v>〇</v>
      </c>
      <c r="M45" s="199">
        <v>0</v>
      </c>
      <c r="N45" s="179">
        <v>3</v>
      </c>
      <c r="O45" s="147">
        <f>IF(N45="","",P45*3+Q45*1)</f>
        <v>6</v>
      </c>
      <c r="P45" s="148">
        <f t="shared" si="15"/>
        <v>2</v>
      </c>
      <c r="Q45" s="148">
        <f t="shared" si="16"/>
        <v>0</v>
      </c>
      <c r="R45" s="148">
        <f t="shared" si="17"/>
        <v>1</v>
      </c>
      <c r="S45" s="148">
        <f>IF(N45="","",SUM(E45,B45,K45))</f>
        <v>4</v>
      </c>
      <c r="T45" s="148">
        <f>IF(N45="","",SUM(G45,D45,M45))</f>
        <v>8</v>
      </c>
      <c r="U45" s="174">
        <f>IF(N45="","",S45-T45)</f>
        <v>-4</v>
      </c>
      <c r="V45" s="204">
        <v>2</v>
      </c>
    </row>
    <row r="46" spans="1:22" ht="20.25" customHeight="1" thickBot="1">
      <c r="A46" s="63" t="s">
        <v>270</v>
      </c>
      <c r="B46" s="189">
        <v>0</v>
      </c>
      <c r="C46" s="152" t="str">
        <f>IF(B46="","",IF(B46&gt;D46,"〇",IF(B46&lt;D46,"●","△")))</f>
        <v>●</v>
      </c>
      <c r="D46" s="192">
        <v>7</v>
      </c>
      <c r="E46" s="138">
        <v>1</v>
      </c>
      <c r="F46" s="152" t="str">
        <f>IF(E46="","",IF(E46&gt;G46,"〇",IF(E46&lt;G46,"●","△")))</f>
        <v>△</v>
      </c>
      <c r="G46" s="138">
        <v>1</v>
      </c>
      <c r="H46" s="194">
        <v>0</v>
      </c>
      <c r="I46" s="152" t="str">
        <f>IF(H46="","",IF(H46&gt;J46,"〇",IF(H46&lt;J46,"●","△")))</f>
        <v>●</v>
      </c>
      <c r="J46" s="192">
        <v>1</v>
      </c>
      <c r="K46" s="312"/>
      <c r="L46" s="313"/>
      <c r="M46" s="314"/>
      <c r="N46" s="180">
        <v>3</v>
      </c>
      <c r="O46" s="154">
        <f>IF(N46="","",P46*3+Q46*1)</f>
        <v>1</v>
      </c>
      <c r="P46" s="155">
        <f t="shared" si="15"/>
        <v>0</v>
      </c>
      <c r="Q46" s="155">
        <f t="shared" si="16"/>
        <v>1</v>
      </c>
      <c r="R46" s="155">
        <f t="shared" si="17"/>
        <v>2</v>
      </c>
      <c r="S46" s="155">
        <f>IF(N46="","",SUM(E46,H46,B46))</f>
        <v>1</v>
      </c>
      <c r="T46" s="155">
        <f>IF(N46="","",SUM(G46,J46,D46))</f>
        <v>9</v>
      </c>
      <c r="U46" s="175">
        <f>IF(N46="","",S46-T46)</f>
        <v>-8</v>
      </c>
      <c r="V46" s="201">
        <v>3</v>
      </c>
    </row>
    <row r="47" spans="1:22" ht="25.5" customHeight="1">
      <c r="A47" s="69"/>
      <c r="B47" s="177" t="s">
        <v>271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85"/>
      <c r="O47" s="169"/>
      <c r="P47" s="169"/>
      <c r="Q47" s="169"/>
      <c r="R47" s="169"/>
      <c r="S47" s="169"/>
      <c r="T47" s="169"/>
      <c r="U47" s="169"/>
      <c r="V47" s="205"/>
    </row>
    <row r="48" spans="1:22" ht="21.75" customHeight="1" thickBot="1">
      <c r="A48" s="60" t="s">
        <v>224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86"/>
      <c r="O48" s="170"/>
      <c r="P48" s="170"/>
      <c r="Q48" s="170"/>
      <c r="R48" s="170"/>
      <c r="S48" s="170"/>
      <c r="T48" s="170"/>
      <c r="U48" s="170"/>
      <c r="V48" s="186"/>
    </row>
    <row r="49" spans="1:45" ht="20.25" customHeight="1" thickBot="1">
      <c r="A49" s="70" t="s">
        <v>225</v>
      </c>
      <c r="B49" s="315" t="str">
        <f>A50</f>
        <v>山村学園</v>
      </c>
      <c r="C49" s="316"/>
      <c r="D49" s="317"/>
      <c r="E49" s="318" t="str">
        <f>A51</f>
        <v>松山女子</v>
      </c>
      <c r="F49" s="316"/>
      <c r="G49" s="317"/>
      <c r="H49" s="318" t="str">
        <f>A52</f>
        <v>大宮南</v>
      </c>
      <c r="I49" s="316"/>
      <c r="J49" s="317"/>
      <c r="K49" s="318" t="str">
        <f>A53</f>
        <v>埼玉栄</v>
      </c>
      <c r="L49" s="316"/>
      <c r="M49" s="319"/>
      <c r="N49" s="183" t="s">
        <v>192</v>
      </c>
      <c r="O49" s="140" t="s">
        <v>226</v>
      </c>
      <c r="P49" s="141" t="s">
        <v>227</v>
      </c>
      <c r="Q49" s="142" t="s">
        <v>228</v>
      </c>
      <c r="R49" s="143" t="s">
        <v>229</v>
      </c>
      <c r="S49" s="143" t="s">
        <v>230</v>
      </c>
      <c r="T49" s="143" t="s">
        <v>231</v>
      </c>
      <c r="U49" s="173" t="s">
        <v>222</v>
      </c>
      <c r="V49" s="203" t="s">
        <v>232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5" ht="20.25" customHeight="1">
      <c r="A50" s="66" t="s">
        <v>272</v>
      </c>
      <c r="B50" s="306"/>
      <c r="C50" s="307"/>
      <c r="D50" s="308"/>
      <c r="E50" s="135">
        <v>0</v>
      </c>
      <c r="F50" s="146" t="str">
        <f>IF(E50="","",IF(E50&gt;G50,"〇",IF(E50&lt;G50,"●","△")))</f>
        <v>△</v>
      </c>
      <c r="G50" s="135">
        <v>0</v>
      </c>
      <c r="H50" s="195">
        <v>3</v>
      </c>
      <c r="I50" s="146" t="str">
        <f>IF(H50="","",IF(H50&gt;J50,"〇",IF(H50&lt;J50,"●","△")))</f>
        <v>〇</v>
      </c>
      <c r="J50" s="196">
        <v>0</v>
      </c>
      <c r="K50" s="135">
        <v>3</v>
      </c>
      <c r="L50" s="146" t="str">
        <f>IF(K50="","",IF(K50&gt;M50,"〇",IF(K50&lt;M50,"●","△")))</f>
        <v>〇</v>
      </c>
      <c r="M50" s="197">
        <v>0</v>
      </c>
      <c r="N50" s="179">
        <v>3</v>
      </c>
      <c r="O50" s="147">
        <f>IF(N50="","",P50*3+Q50*1)</f>
        <v>7</v>
      </c>
      <c r="P50" s="148">
        <f>IF(N50="","",COUNTIF(B50:M50,"〇"))</f>
        <v>2</v>
      </c>
      <c r="Q50" s="148">
        <f t="shared" ref="Q50:Q53" si="18">IF(N50="","",COUNTIF(B50:M50,"△"))</f>
        <v>1</v>
      </c>
      <c r="R50" s="148">
        <f t="shared" ref="R50:R53" si="19">IF(N50="","",COUNTIF(B50:M50,"●"))</f>
        <v>0</v>
      </c>
      <c r="S50" s="148">
        <f>IF(N50="","",SUM(E50,H50,K50))</f>
        <v>6</v>
      </c>
      <c r="T50" s="148">
        <f>IF(N50="","",SUM(G50,J50,M50))</f>
        <v>0</v>
      </c>
      <c r="U50" s="174">
        <f>IF(N50="","",S50-T50)</f>
        <v>6</v>
      </c>
      <c r="V50" s="204">
        <v>1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5" ht="20.25" customHeight="1">
      <c r="A51" s="66" t="s">
        <v>273</v>
      </c>
      <c r="B51" s="187">
        <v>0</v>
      </c>
      <c r="C51" s="150" t="str">
        <f>IF(B51="","",IF(B51&gt;D51,"〇",IF(B51&lt;D51,"●","△")))</f>
        <v>△</v>
      </c>
      <c r="D51" s="190">
        <v>0</v>
      </c>
      <c r="E51" s="309"/>
      <c r="F51" s="310"/>
      <c r="G51" s="311"/>
      <c r="H51" s="193">
        <v>5</v>
      </c>
      <c r="I51" s="150" t="str">
        <f>IF(H51="","",IF(H51&gt;J51,"〇",IF(H51&lt;J51,"●","△")))</f>
        <v>〇</v>
      </c>
      <c r="J51" s="190">
        <v>1</v>
      </c>
      <c r="K51" s="136">
        <v>0</v>
      </c>
      <c r="L51" s="150" t="str">
        <f>IF(K51="","",IF(K51&gt;M51,"〇",IF(K51&lt;M51,"●","△")))</f>
        <v>△</v>
      </c>
      <c r="M51" s="198">
        <v>0</v>
      </c>
      <c r="N51" s="179">
        <v>3</v>
      </c>
      <c r="O51" s="147">
        <f>IF(N51="","",P51*3+Q51*1)</f>
        <v>5</v>
      </c>
      <c r="P51" s="148">
        <f t="shared" ref="P51:P53" si="20">IF(N51="","",COUNTIF(B51:M51,"〇"))</f>
        <v>1</v>
      </c>
      <c r="Q51" s="148">
        <f t="shared" si="18"/>
        <v>2</v>
      </c>
      <c r="R51" s="148">
        <f t="shared" si="19"/>
        <v>0</v>
      </c>
      <c r="S51" s="148">
        <f>IF(N51="","",SUM(B51,H51,K51))</f>
        <v>5</v>
      </c>
      <c r="T51" s="148">
        <f>IF(N51="","",SUM(D51,J51,M51))</f>
        <v>1</v>
      </c>
      <c r="U51" s="174">
        <f>IF(N51="","",S51-T51)</f>
        <v>4</v>
      </c>
      <c r="V51" s="204">
        <v>2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5" ht="20.25" customHeight="1">
      <c r="A52" s="66" t="s">
        <v>274</v>
      </c>
      <c r="B52" s="188">
        <v>0</v>
      </c>
      <c r="C52" s="151" t="str">
        <f>IF(B52="","",IF(B52&gt;D52,"〇",IF(B52&lt;D52,"●","△")))</f>
        <v>●</v>
      </c>
      <c r="D52" s="191">
        <v>3</v>
      </c>
      <c r="E52" s="137">
        <v>1</v>
      </c>
      <c r="F52" s="151" t="str">
        <f>IF(E52="","",IF(E52&gt;G52,"〇",IF(E52&lt;G52,"●","△")))</f>
        <v>●</v>
      </c>
      <c r="G52" s="137">
        <v>5</v>
      </c>
      <c r="H52" s="309"/>
      <c r="I52" s="310"/>
      <c r="J52" s="311"/>
      <c r="K52" s="137">
        <v>0</v>
      </c>
      <c r="L52" s="151" t="str">
        <f>IF(K52="","",IF(K52&gt;M52,"〇",IF(K52&lt;M52,"●","△")))</f>
        <v>●</v>
      </c>
      <c r="M52" s="199">
        <v>1</v>
      </c>
      <c r="N52" s="179">
        <v>3</v>
      </c>
      <c r="O52" s="147">
        <f>IF(N52="","",P52*3+Q52*1)</f>
        <v>0</v>
      </c>
      <c r="P52" s="148">
        <f t="shared" si="20"/>
        <v>0</v>
      </c>
      <c r="Q52" s="148">
        <f t="shared" si="18"/>
        <v>0</v>
      </c>
      <c r="R52" s="148">
        <f t="shared" si="19"/>
        <v>3</v>
      </c>
      <c r="S52" s="148">
        <f>IF(N52="","",SUM(E52,B52,K52))</f>
        <v>1</v>
      </c>
      <c r="T52" s="148">
        <f>IF(N52="","",SUM(G52,D52,M52))</f>
        <v>9</v>
      </c>
      <c r="U52" s="174">
        <f>IF(N52="","",S52-T52)</f>
        <v>-8</v>
      </c>
      <c r="V52" s="204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63" t="s">
        <v>275</v>
      </c>
      <c r="B53" s="189">
        <v>0</v>
      </c>
      <c r="C53" s="152" t="str">
        <f>IF(B53="","",IF(B53&gt;D53,"〇",IF(B53&lt;D53,"●","△")))</f>
        <v>●</v>
      </c>
      <c r="D53" s="192">
        <v>3</v>
      </c>
      <c r="E53" s="138">
        <v>0</v>
      </c>
      <c r="F53" s="152" t="str">
        <f>IF(E53="","",IF(E53&gt;G53,"〇",IF(E53&lt;G53,"●","△")))</f>
        <v>△</v>
      </c>
      <c r="G53" s="138">
        <v>0</v>
      </c>
      <c r="H53" s="194">
        <v>1</v>
      </c>
      <c r="I53" s="152" t="str">
        <f>IF(H53="","",IF(H53&gt;J53,"〇",IF(H53&lt;J53,"●","△")))</f>
        <v>〇</v>
      </c>
      <c r="J53" s="192">
        <v>0</v>
      </c>
      <c r="K53" s="312"/>
      <c r="L53" s="313"/>
      <c r="M53" s="314"/>
      <c r="N53" s="180">
        <v>3</v>
      </c>
      <c r="O53" s="154">
        <f>IF(N53="","",P53*3+Q53*1)</f>
        <v>4</v>
      </c>
      <c r="P53" s="155">
        <f t="shared" si="20"/>
        <v>1</v>
      </c>
      <c r="Q53" s="155">
        <f t="shared" si="18"/>
        <v>1</v>
      </c>
      <c r="R53" s="155">
        <f t="shared" si="19"/>
        <v>1</v>
      </c>
      <c r="S53" s="155">
        <f>IF(N53="","",SUM(E53,H53,B53))</f>
        <v>1</v>
      </c>
      <c r="T53" s="155">
        <f>IF(N53="","",SUM(G53,J53,D53))</f>
        <v>3</v>
      </c>
      <c r="U53" s="175">
        <f>IF(N53="","",S53-T53)</f>
        <v>-2</v>
      </c>
      <c r="V53" s="201">
        <v>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69"/>
      <c r="B54" s="163"/>
      <c r="C54" s="163"/>
      <c r="D54" s="163"/>
      <c r="E54" s="163"/>
      <c r="F54" s="163"/>
      <c r="G54" s="163"/>
      <c r="H54" s="163"/>
      <c r="I54" s="163"/>
      <c r="J54" s="163"/>
      <c r="K54" s="169"/>
      <c r="L54" s="169"/>
      <c r="M54" s="169"/>
      <c r="N54" s="185"/>
      <c r="O54" s="169"/>
      <c r="P54" s="169"/>
      <c r="Q54" s="169"/>
      <c r="R54" s="169"/>
      <c r="S54" s="169"/>
      <c r="T54" s="169"/>
      <c r="U54" s="169"/>
      <c r="V54" s="20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60" t="s">
        <v>233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78"/>
      <c r="L55" s="178"/>
      <c r="M55" s="178"/>
      <c r="N55" s="186"/>
      <c r="O55" s="170"/>
      <c r="P55" s="170"/>
      <c r="Q55" s="170"/>
      <c r="R55" s="170"/>
      <c r="S55" s="170"/>
      <c r="T55" s="170"/>
      <c r="U55" s="170"/>
      <c r="V55" s="186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28"/>
    </row>
    <row r="56" spans="1:45" ht="20.25" customHeight="1" thickBot="1">
      <c r="A56" s="61" t="s">
        <v>234</v>
      </c>
      <c r="B56" s="315" t="str">
        <f>A57</f>
        <v>浦和西</v>
      </c>
      <c r="C56" s="316"/>
      <c r="D56" s="317"/>
      <c r="E56" s="318" t="str">
        <f>A58</f>
        <v>狭山ヶ丘</v>
      </c>
      <c r="F56" s="316"/>
      <c r="G56" s="317"/>
      <c r="H56" s="318" t="str">
        <f>A59</f>
        <v>熊谷女子</v>
      </c>
      <c r="I56" s="316"/>
      <c r="J56" s="317"/>
      <c r="K56" s="318" t="str">
        <f>A60</f>
        <v>杉戸農業</v>
      </c>
      <c r="L56" s="316"/>
      <c r="M56" s="319"/>
      <c r="N56" s="183" t="s">
        <v>192</v>
      </c>
      <c r="O56" s="140" t="s">
        <v>235</v>
      </c>
      <c r="P56" s="141" t="s">
        <v>217</v>
      </c>
      <c r="Q56" s="142" t="s">
        <v>236</v>
      </c>
      <c r="R56" s="143" t="s">
        <v>237</v>
      </c>
      <c r="S56" s="143" t="s">
        <v>238</v>
      </c>
      <c r="T56" s="143" t="s">
        <v>239</v>
      </c>
      <c r="U56" s="173" t="s">
        <v>240</v>
      </c>
      <c r="V56" s="203" t="s">
        <v>241</v>
      </c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38"/>
    </row>
    <row r="57" spans="1:45" ht="20.25" customHeight="1">
      <c r="A57" s="66" t="s">
        <v>276</v>
      </c>
      <c r="B57" s="306"/>
      <c r="C57" s="307"/>
      <c r="D57" s="308"/>
      <c r="E57" s="135">
        <v>9</v>
      </c>
      <c r="F57" s="146" t="str">
        <f>IF(E57="","",IF(E57&gt;G57,"〇",IF(E57&lt;G57,"●","△")))</f>
        <v>〇</v>
      </c>
      <c r="G57" s="135">
        <v>1</v>
      </c>
      <c r="H57" s="195">
        <v>5</v>
      </c>
      <c r="I57" s="146" t="str">
        <f>IF(H57="","",IF(H57&gt;J57,"〇",IF(H57&lt;J57,"●","△")))</f>
        <v>〇</v>
      </c>
      <c r="J57" s="196">
        <v>0</v>
      </c>
      <c r="K57" s="135">
        <v>11</v>
      </c>
      <c r="L57" s="146" t="str">
        <f>IF(K57="","",IF(K57&gt;M57,"〇",IF(K57&lt;M57,"●","△")))</f>
        <v>〇</v>
      </c>
      <c r="M57" s="197">
        <v>0</v>
      </c>
      <c r="N57" s="179">
        <v>3</v>
      </c>
      <c r="O57" s="147">
        <f>IF(N57="","",P57*3+Q57*1)</f>
        <v>9</v>
      </c>
      <c r="P57" s="148">
        <f t="shared" ref="P57:P60" si="21">IF(N57="","",COUNTIF(B57:M57,"〇"))</f>
        <v>3</v>
      </c>
      <c r="Q57" s="148">
        <f t="shared" ref="Q57:Q60" si="22">IF(N57="","",COUNTIF(B57:M57,"△"))</f>
        <v>0</v>
      </c>
      <c r="R57" s="148">
        <f t="shared" ref="R57:R60" si="23">IF(N57="","",COUNTIF(B57:M57,"●"))</f>
        <v>0</v>
      </c>
      <c r="S57" s="148">
        <f>IF(N57="","",SUM(E57,H57,K57))</f>
        <v>25</v>
      </c>
      <c r="T57" s="148">
        <f>IF(N57="","",SUM(G57,J57,M57))</f>
        <v>1</v>
      </c>
      <c r="U57" s="174">
        <f>IF(N57="","",S57-T57)</f>
        <v>24</v>
      </c>
      <c r="V57" s="204">
        <f>IF(O57="","",RANK(O57,$O57:$O60,0))</f>
        <v>1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38"/>
    </row>
    <row r="58" spans="1:45" ht="20.25" customHeight="1">
      <c r="A58" s="66" t="s">
        <v>277</v>
      </c>
      <c r="B58" s="187">
        <v>1</v>
      </c>
      <c r="C58" s="150" t="str">
        <f>IF(B58="","",IF(B58&gt;D58,"〇",IF(B58&lt;D58,"●","△")))</f>
        <v>●</v>
      </c>
      <c r="D58" s="190">
        <v>9</v>
      </c>
      <c r="E58" s="309"/>
      <c r="F58" s="310"/>
      <c r="G58" s="311"/>
      <c r="H58" s="193">
        <v>0</v>
      </c>
      <c r="I58" s="150" t="str">
        <f>IF(H58="","",IF(H58&gt;J58,"〇",IF(H58&lt;J58,"●","△")))</f>
        <v>●</v>
      </c>
      <c r="J58" s="190">
        <v>1</v>
      </c>
      <c r="K58" s="136">
        <v>0</v>
      </c>
      <c r="L58" s="150" t="str">
        <f>IF(K58="","",IF(K58&gt;M58,"〇",IF(K58&lt;M58,"●","△")))</f>
        <v>△</v>
      </c>
      <c r="M58" s="198">
        <v>0</v>
      </c>
      <c r="N58" s="179">
        <v>3</v>
      </c>
      <c r="O58" s="147">
        <f>IF(N58="","",P58*3+Q58*1)</f>
        <v>1</v>
      </c>
      <c r="P58" s="148">
        <f t="shared" si="21"/>
        <v>0</v>
      </c>
      <c r="Q58" s="148">
        <f t="shared" si="22"/>
        <v>1</v>
      </c>
      <c r="R58" s="148">
        <f t="shared" si="23"/>
        <v>2</v>
      </c>
      <c r="S58" s="148">
        <f>IF(N58="","",SUM(B58,H58,K58))</f>
        <v>1</v>
      </c>
      <c r="T58" s="148">
        <f>IF(N58="","",SUM(D58,J58,M58))</f>
        <v>10</v>
      </c>
      <c r="U58" s="174">
        <f>IF(N58="","",S58-T58)</f>
        <v>-9</v>
      </c>
      <c r="V58" s="204">
        <f>IF(O58="","",RANK(O58,$O57:$O60,0))</f>
        <v>3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38"/>
    </row>
    <row r="59" spans="1:45" ht="20.25" customHeight="1">
      <c r="A59" s="66" t="s">
        <v>278</v>
      </c>
      <c r="B59" s="188">
        <v>0</v>
      </c>
      <c r="C59" s="151" t="str">
        <f>IF(B59="","",IF(B59&gt;D59,"〇",IF(B59&lt;D59,"●","△")))</f>
        <v>●</v>
      </c>
      <c r="D59" s="191">
        <v>5</v>
      </c>
      <c r="E59" s="137">
        <v>1</v>
      </c>
      <c r="F59" s="151" t="str">
        <f>IF(E59="","",IF(E59&gt;G59,"〇",IF(E59&lt;G59,"●","△")))</f>
        <v>〇</v>
      </c>
      <c r="G59" s="137">
        <v>0</v>
      </c>
      <c r="H59" s="309"/>
      <c r="I59" s="310"/>
      <c r="J59" s="311"/>
      <c r="K59" s="137">
        <v>1</v>
      </c>
      <c r="L59" s="151" t="str">
        <f>IF(K59="","",IF(K59&gt;M59,"〇",IF(K59&lt;M59,"●","△")))</f>
        <v>〇</v>
      </c>
      <c r="M59" s="199">
        <v>0</v>
      </c>
      <c r="N59" s="179">
        <v>3</v>
      </c>
      <c r="O59" s="147">
        <f>IF(N59="","",P59*3+Q59*1)</f>
        <v>6</v>
      </c>
      <c r="P59" s="148">
        <f t="shared" si="21"/>
        <v>2</v>
      </c>
      <c r="Q59" s="148">
        <f t="shared" si="22"/>
        <v>0</v>
      </c>
      <c r="R59" s="148">
        <f t="shared" si="23"/>
        <v>1</v>
      </c>
      <c r="S59" s="148">
        <f>IF(N59="","",SUM(E59,B59,K59))</f>
        <v>2</v>
      </c>
      <c r="T59" s="148">
        <f>IF(N59="","",SUM(G59,D59,M59))</f>
        <v>5</v>
      </c>
      <c r="U59" s="174">
        <f>IF(N59="","",S59-T59)</f>
        <v>-3</v>
      </c>
      <c r="V59" s="204">
        <v>2</v>
      </c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38"/>
    </row>
    <row r="60" spans="1:45" ht="20.25" customHeight="1" thickBot="1">
      <c r="A60" s="63" t="s">
        <v>279</v>
      </c>
      <c r="B60" s="189">
        <v>0</v>
      </c>
      <c r="C60" s="152" t="str">
        <f>IF(B60="","",IF(B60&gt;D60,"〇",IF(B60&lt;D60,"●","△")))</f>
        <v>●</v>
      </c>
      <c r="D60" s="192">
        <v>11</v>
      </c>
      <c r="E60" s="138">
        <v>0</v>
      </c>
      <c r="F60" s="152" t="str">
        <f>IF(E60="","",IF(E60&gt;G60,"〇",IF(E60&lt;G60,"●","△")))</f>
        <v>△</v>
      </c>
      <c r="G60" s="138">
        <v>0</v>
      </c>
      <c r="H60" s="194">
        <v>0</v>
      </c>
      <c r="I60" s="152" t="str">
        <f>IF(H60="","",IF(H60&gt;J60,"〇",IF(H60&lt;J60,"●","△")))</f>
        <v>●</v>
      </c>
      <c r="J60" s="192">
        <v>1</v>
      </c>
      <c r="K60" s="312"/>
      <c r="L60" s="313"/>
      <c r="M60" s="314"/>
      <c r="N60" s="180">
        <v>3</v>
      </c>
      <c r="O60" s="154">
        <f>IF(N60="","",P60*3+Q60*1)</f>
        <v>1</v>
      </c>
      <c r="P60" s="155">
        <f t="shared" si="21"/>
        <v>0</v>
      </c>
      <c r="Q60" s="155">
        <f t="shared" si="22"/>
        <v>1</v>
      </c>
      <c r="R60" s="155">
        <f t="shared" si="23"/>
        <v>2</v>
      </c>
      <c r="S60" s="155">
        <f>IF(N60="","",SUM(E60,H60,B60))</f>
        <v>0</v>
      </c>
      <c r="T60" s="155">
        <f>IF(N60="","",SUM(G60,J60,D60))</f>
        <v>12</v>
      </c>
      <c r="U60" s="175">
        <f>IF(N60="","",S60-T60)</f>
        <v>-12</v>
      </c>
      <c r="V60" s="201">
        <v>4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82"/>
      <c r="O61" s="163"/>
      <c r="P61" s="163"/>
      <c r="Q61" s="163"/>
      <c r="R61" s="163"/>
      <c r="S61" s="163"/>
      <c r="T61" s="163"/>
      <c r="U61" s="163"/>
      <c r="V61" s="182"/>
    </row>
    <row r="62" spans="1:45" ht="20.25" customHeight="1" thickBot="1">
      <c r="A62" s="60" t="s">
        <v>242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78"/>
      <c r="L62" s="178"/>
      <c r="M62" s="178"/>
      <c r="N62" s="186"/>
      <c r="O62" s="170"/>
      <c r="P62" s="170"/>
      <c r="Q62" s="170"/>
      <c r="R62" s="170"/>
      <c r="S62" s="170"/>
      <c r="T62" s="170"/>
      <c r="U62" s="170"/>
      <c r="V62" s="186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8"/>
    </row>
    <row r="63" spans="1:45" ht="20.25" customHeight="1" thickBot="1">
      <c r="A63" s="61" t="s">
        <v>243</v>
      </c>
      <c r="B63" s="315" t="str">
        <f>A64</f>
        <v>昌平</v>
      </c>
      <c r="C63" s="316"/>
      <c r="D63" s="317"/>
      <c r="E63" s="318" t="str">
        <f>A65</f>
        <v>浦和実業</v>
      </c>
      <c r="F63" s="316"/>
      <c r="G63" s="317"/>
      <c r="H63" s="318" t="str">
        <f>A66</f>
        <v>淑徳与野</v>
      </c>
      <c r="I63" s="316"/>
      <c r="J63" s="317"/>
      <c r="K63" s="318" t="str">
        <f>A67</f>
        <v>浦和一女</v>
      </c>
      <c r="L63" s="316"/>
      <c r="M63" s="319"/>
      <c r="N63" s="183" t="s">
        <v>192</v>
      </c>
      <c r="O63" s="140" t="s">
        <v>244</v>
      </c>
      <c r="P63" s="141" t="s">
        <v>245</v>
      </c>
      <c r="Q63" s="142" t="s">
        <v>246</v>
      </c>
      <c r="R63" s="143" t="s">
        <v>247</v>
      </c>
      <c r="S63" s="143" t="s">
        <v>248</v>
      </c>
      <c r="T63" s="143" t="s">
        <v>221</v>
      </c>
      <c r="U63" s="173" t="s">
        <v>249</v>
      </c>
      <c r="V63" s="203" t="s">
        <v>250</v>
      </c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38"/>
    </row>
    <row r="64" spans="1:45" ht="20.25" customHeight="1">
      <c r="A64" s="66" t="s">
        <v>280</v>
      </c>
      <c r="B64" s="306"/>
      <c r="C64" s="307"/>
      <c r="D64" s="308"/>
      <c r="E64" s="135">
        <v>1</v>
      </c>
      <c r="F64" s="146" t="str">
        <f>IF(E64="","",IF(E64&gt;G64,"〇",IF(E64&lt;G64,"●","△")))</f>
        <v>△</v>
      </c>
      <c r="G64" s="135">
        <v>1</v>
      </c>
      <c r="H64" s="195">
        <v>5</v>
      </c>
      <c r="I64" s="146" t="str">
        <f>IF(H64="","",IF(H64&gt;J64,"〇",IF(H64&lt;J64,"●","△")))</f>
        <v>〇</v>
      </c>
      <c r="J64" s="196">
        <v>0</v>
      </c>
      <c r="K64" s="135">
        <v>1</v>
      </c>
      <c r="L64" s="146" t="str">
        <f>IF(K64="","",IF(K64&gt;M64,"〇",IF(K64&lt;M64,"●","△")))</f>
        <v>〇</v>
      </c>
      <c r="M64" s="197">
        <v>0</v>
      </c>
      <c r="N64" s="179">
        <v>3</v>
      </c>
      <c r="O64" s="147">
        <f>IF(N64="","",P64*3+Q64*1)</f>
        <v>7</v>
      </c>
      <c r="P64" s="148">
        <f t="shared" ref="P64:P67" si="24">IF(N64="","",COUNTIF(B64:M64,"〇"))</f>
        <v>2</v>
      </c>
      <c r="Q64" s="148">
        <f t="shared" ref="Q64:Q67" si="25">IF(N64="","",COUNTIF(B64:M64,"△"))</f>
        <v>1</v>
      </c>
      <c r="R64" s="148">
        <f t="shared" ref="R64:R67" si="26">IF(N64="","",COUNTIF(B64:M64,"●"))</f>
        <v>0</v>
      </c>
      <c r="S64" s="148">
        <f>IF(N64="","",SUM(E64,H64,K64))</f>
        <v>7</v>
      </c>
      <c r="T64" s="148">
        <f>IF(N64="","",SUM(G64,J64,M64))</f>
        <v>1</v>
      </c>
      <c r="U64" s="174">
        <f>IF(N64="","",S64-T64)</f>
        <v>6</v>
      </c>
      <c r="V64" s="204">
        <v>1</v>
      </c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38"/>
    </row>
    <row r="65" spans="1:45" ht="20.25" customHeight="1">
      <c r="A65" s="66" t="s">
        <v>281</v>
      </c>
      <c r="B65" s="187">
        <v>1</v>
      </c>
      <c r="C65" s="150" t="str">
        <f>IF(B65="","",IF(B65&gt;D65,"〇",IF(B65&lt;D65,"●","△")))</f>
        <v>△</v>
      </c>
      <c r="D65" s="190">
        <v>1</v>
      </c>
      <c r="E65" s="309"/>
      <c r="F65" s="310"/>
      <c r="G65" s="311"/>
      <c r="H65" s="193">
        <v>1</v>
      </c>
      <c r="I65" s="150" t="str">
        <f>IF(H65="","",IF(H65&gt;J65,"〇",IF(H65&lt;J65,"●","△")))</f>
        <v>〇</v>
      </c>
      <c r="J65" s="190">
        <v>0</v>
      </c>
      <c r="K65" s="136">
        <v>0</v>
      </c>
      <c r="L65" s="150" t="str">
        <f>IF(K65="","",IF(K65&gt;M65,"〇",IF(K65&lt;M65,"●","△")))</f>
        <v>△</v>
      </c>
      <c r="M65" s="198">
        <v>0</v>
      </c>
      <c r="N65" s="179">
        <v>3</v>
      </c>
      <c r="O65" s="147">
        <f>IF(N65="","",P65*3+Q65*1)</f>
        <v>5</v>
      </c>
      <c r="P65" s="148">
        <f t="shared" si="24"/>
        <v>1</v>
      </c>
      <c r="Q65" s="148">
        <f t="shared" si="25"/>
        <v>2</v>
      </c>
      <c r="R65" s="148">
        <f t="shared" si="26"/>
        <v>0</v>
      </c>
      <c r="S65" s="148">
        <f>IF(N65="","",SUM(B65,H65,K65))</f>
        <v>2</v>
      </c>
      <c r="T65" s="148">
        <f>IF(N65="","",SUM(D65,J65,M65))</f>
        <v>1</v>
      </c>
      <c r="U65" s="174">
        <f>IF(N65="","",S65-T65)</f>
        <v>1</v>
      </c>
      <c r="V65" s="204">
        <v>2</v>
      </c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38"/>
    </row>
    <row r="66" spans="1:45" ht="20.25" customHeight="1">
      <c r="A66" s="66" t="s">
        <v>282</v>
      </c>
      <c r="B66" s="188">
        <v>0</v>
      </c>
      <c r="C66" s="151" t="str">
        <f>IF(B66="","",IF(B66&gt;D66,"〇",IF(B66&lt;D66,"●","△")))</f>
        <v>●</v>
      </c>
      <c r="D66" s="191">
        <v>5</v>
      </c>
      <c r="E66" s="137">
        <v>0</v>
      </c>
      <c r="F66" s="151" t="str">
        <f>IF(E66="","",IF(E66&gt;G66,"〇",IF(E66&lt;G66,"●","△")))</f>
        <v>●</v>
      </c>
      <c r="G66" s="137">
        <v>1</v>
      </c>
      <c r="H66" s="309"/>
      <c r="I66" s="310"/>
      <c r="J66" s="311"/>
      <c r="K66" s="137">
        <v>0</v>
      </c>
      <c r="L66" s="151" t="str">
        <f>IF(K66="","",IF(K66&gt;M66,"〇",IF(K66&lt;M66,"●","△")))</f>
        <v>●</v>
      </c>
      <c r="M66" s="199">
        <v>7</v>
      </c>
      <c r="N66" s="179">
        <v>3</v>
      </c>
      <c r="O66" s="147">
        <f>IF(N66="","",P66*3+Q66*1)</f>
        <v>0</v>
      </c>
      <c r="P66" s="148">
        <f t="shared" si="24"/>
        <v>0</v>
      </c>
      <c r="Q66" s="148">
        <f t="shared" si="25"/>
        <v>0</v>
      </c>
      <c r="R66" s="148">
        <f t="shared" si="26"/>
        <v>3</v>
      </c>
      <c r="S66" s="148">
        <f>IF(N66="","",SUM(E66,B66,K66))</f>
        <v>0</v>
      </c>
      <c r="T66" s="148">
        <f>IF(N66="","",SUM(G66,D66,M66))</f>
        <v>13</v>
      </c>
      <c r="U66" s="174">
        <f>IF(N66="","",S66-T66)</f>
        <v>-13</v>
      </c>
      <c r="V66" s="204">
        <v>4</v>
      </c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38"/>
    </row>
    <row r="67" spans="1:45" ht="20.25" customHeight="1" thickBot="1">
      <c r="A67" s="63" t="s">
        <v>283</v>
      </c>
      <c r="B67" s="189">
        <v>0</v>
      </c>
      <c r="C67" s="152" t="str">
        <f>IF(B67="","",IF(B67&gt;D67,"〇",IF(B67&lt;D67,"●","△")))</f>
        <v>●</v>
      </c>
      <c r="D67" s="192">
        <v>1</v>
      </c>
      <c r="E67" s="138">
        <v>0</v>
      </c>
      <c r="F67" s="152" t="str">
        <f>IF(E67="","",IF(E67&gt;G67,"〇",IF(E67&lt;G67,"●","△")))</f>
        <v>△</v>
      </c>
      <c r="G67" s="138">
        <v>0</v>
      </c>
      <c r="H67" s="194">
        <v>7</v>
      </c>
      <c r="I67" s="152" t="str">
        <f>IF(H67="","",IF(H67&gt;J67,"〇",IF(H67&lt;J67,"●","△")))</f>
        <v>〇</v>
      </c>
      <c r="J67" s="192">
        <v>0</v>
      </c>
      <c r="K67" s="312"/>
      <c r="L67" s="313"/>
      <c r="M67" s="314"/>
      <c r="N67" s="180">
        <v>3</v>
      </c>
      <c r="O67" s="154">
        <f>IF(N67="","",P67*3+Q67*1)</f>
        <v>4</v>
      </c>
      <c r="P67" s="155">
        <f t="shared" si="24"/>
        <v>1</v>
      </c>
      <c r="Q67" s="155">
        <f t="shared" si="25"/>
        <v>1</v>
      </c>
      <c r="R67" s="155">
        <f t="shared" si="26"/>
        <v>1</v>
      </c>
      <c r="S67" s="155">
        <f>IF(N67="","",SUM(E67,H67,B67))</f>
        <v>7</v>
      </c>
      <c r="T67" s="155">
        <f>IF(N67="","",SUM(G67,J67,D67))</f>
        <v>1</v>
      </c>
      <c r="U67" s="175">
        <f>IF(N67="","",S67-T67)</f>
        <v>6</v>
      </c>
      <c r="V67" s="201">
        <v>3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9" spans="1:45">
      <c r="N69">
        <f>SUM(N8:N67)/2</f>
        <v>48</v>
      </c>
    </row>
  </sheetData>
  <sheetProtection sheet="1" objects="1" scenarios="1"/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41</v>
      </c>
      <c r="B1" s="2" t="s">
        <v>42</v>
      </c>
      <c r="C1" s="8" t="s">
        <v>46</v>
      </c>
      <c r="D1" s="8" t="s">
        <v>47</v>
      </c>
    </row>
    <row r="2" spans="1:4">
      <c r="A2" s="2">
        <v>1</v>
      </c>
      <c r="B2" s="2" t="s">
        <v>36</v>
      </c>
      <c r="C2" s="8" t="e">
        <f>COUNTIF(対戦表!#REF!,1)</f>
        <v>#REF!</v>
      </c>
      <c r="D2" s="8" t="e">
        <f>COUNTIF(対戦表!#REF!,1)</f>
        <v>#REF!</v>
      </c>
    </row>
    <row r="3" spans="1:4">
      <c r="A3" s="2">
        <v>2</v>
      </c>
      <c r="B3" s="2" t="s">
        <v>25</v>
      </c>
      <c r="C3" s="8" t="e">
        <f>COUNTIF(対戦表!#REF!,2)</f>
        <v>#REF!</v>
      </c>
      <c r="D3" s="8" t="e">
        <f>COUNTIF(対戦表!#REF!,2)</f>
        <v>#REF!</v>
      </c>
    </row>
    <row r="4" spans="1:4">
      <c r="A4" s="2">
        <v>3</v>
      </c>
      <c r="B4" s="2" t="s">
        <v>1</v>
      </c>
      <c r="C4" s="8" t="e">
        <f>COUNTIF(対戦表!#REF!,3)</f>
        <v>#REF!</v>
      </c>
      <c r="D4" s="8" t="e">
        <f>COUNTIF(対戦表!#REF!,3)</f>
        <v>#REF!</v>
      </c>
    </row>
    <row r="5" spans="1:4">
      <c r="A5" s="2">
        <v>4</v>
      </c>
      <c r="B5" s="2" t="s">
        <v>0</v>
      </c>
      <c r="C5" s="8" t="e">
        <f>COUNTIF(対戦表!#REF!,4)</f>
        <v>#REF!</v>
      </c>
      <c r="D5" s="8" t="e">
        <f>COUNTIF(対戦表!#REF!,4)</f>
        <v>#REF!</v>
      </c>
    </row>
    <row r="6" spans="1:4">
      <c r="A6" s="2">
        <v>5</v>
      </c>
      <c r="B6" s="2" t="s">
        <v>27</v>
      </c>
      <c r="C6" s="8" t="e">
        <f>COUNTIF(対戦表!#REF!,5)</f>
        <v>#REF!</v>
      </c>
      <c r="D6" s="8" t="e">
        <f>COUNTIF(対戦表!#REF!,5)</f>
        <v>#REF!</v>
      </c>
    </row>
    <row r="7" spans="1:4">
      <c r="A7" s="2">
        <v>6</v>
      </c>
      <c r="B7" s="2" t="s">
        <v>23</v>
      </c>
      <c r="C7" s="8" t="e">
        <f>COUNTIF(対戦表!#REF!,6)</f>
        <v>#REF!</v>
      </c>
      <c r="D7" s="8" t="e">
        <f>COUNTIF(対戦表!#REF!,6)</f>
        <v>#REF!</v>
      </c>
    </row>
    <row r="8" spans="1:4">
      <c r="A8" s="2">
        <v>7</v>
      </c>
      <c r="B8" s="2" t="s">
        <v>32</v>
      </c>
      <c r="C8" s="8" t="e">
        <f>COUNTIF(対戦表!#REF!,7)</f>
        <v>#REF!</v>
      </c>
      <c r="D8" s="8" t="e">
        <f>COUNTIF(対戦表!#REF!,7)</f>
        <v>#REF!</v>
      </c>
    </row>
    <row r="9" spans="1:4">
      <c r="A9" s="2">
        <v>8</v>
      </c>
      <c r="B9" s="2" t="s">
        <v>2</v>
      </c>
      <c r="C9" s="8" t="e">
        <f>COUNTIF(対戦表!#REF!,8)</f>
        <v>#REF!</v>
      </c>
      <c r="D9" s="8" t="e">
        <f>COUNTIF(対戦表!#REF!,8)</f>
        <v>#REF!</v>
      </c>
    </row>
    <row r="10" spans="1:4">
      <c r="A10" s="2">
        <v>9</v>
      </c>
      <c r="B10" s="2" t="s">
        <v>4</v>
      </c>
      <c r="C10" s="8" t="e">
        <f>COUNTIF(対戦表!#REF!,9)</f>
        <v>#REF!</v>
      </c>
      <c r="D10" s="8" t="e">
        <f>COUNTIF(対戦表!#REF!,9)</f>
        <v>#REF!</v>
      </c>
    </row>
    <row r="11" spans="1:4">
      <c r="A11" s="2">
        <v>10</v>
      </c>
      <c r="B11" s="2" t="s">
        <v>43</v>
      </c>
      <c r="C11" s="8" t="e">
        <f>COUNTIF(対戦表!#REF!,10)</f>
        <v>#REF!</v>
      </c>
      <c r="D11" s="8" t="e">
        <f>COUNTIF(対戦表!#REF!,10)</f>
        <v>#REF!</v>
      </c>
    </row>
    <row r="12" spans="1:4">
      <c r="A12" s="2">
        <v>11</v>
      </c>
      <c r="B12" s="2" t="s">
        <v>38</v>
      </c>
      <c r="C12" s="8" t="e">
        <f>COUNTIF(対戦表!#REF!,11)</f>
        <v>#REF!</v>
      </c>
      <c r="D12" s="8" t="e">
        <f>COUNTIF(対戦表!#REF!,11)</f>
        <v>#REF!</v>
      </c>
    </row>
    <row r="13" spans="1:4">
      <c r="A13" s="2">
        <v>12</v>
      </c>
      <c r="B13" s="2" t="s">
        <v>44</v>
      </c>
      <c r="C13" s="8" t="e">
        <f>COUNTIF(対戦表!#REF!,12)</f>
        <v>#REF!</v>
      </c>
      <c r="D13" s="8" t="e">
        <f>COUNTIF(対戦表!#REF!,12)</f>
        <v>#REF!</v>
      </c>
    </row>
    <row r="14" spans="1:4">
      <c r="A14" s="2">
        <v>13</v>
      </c>
      <c r="B14" s="2" t="s">
        <v>3</v>
      </c>
      <c r="C14" s="8" t="e">
        <f>COUNTIF(対戦表!#REF!,13)</f>
        <v>#REF!</v>
      </c>
      <c r="D14" s="8" t="e">
        <f>COUNTIF(対戦表!#REF!,13)</f>
        <v>#REF!</v>
      </c>
    </row>
    <row r="15" spans="1:4">
      <c r="A15" s="2">
        <v>14</v>
      </c>
      <c r="B15" s="2" t="s">
        <v>37</v>
      </c>
      <c r="C15" s="8" t="e">
        <f>COUNTIF(対戦表!#REF!,14)</f>
        <v>#REF!</v>
      </c>
      <c r="D15" s="8" t="e">
        <f>COUNTIF(対戦表!#REF!,14)</f>
        <v>#REF!</v>
      </c>
    </row>
    <row r="16" spans="1:4">
      <c r="A16" s="2">
        <v>15</v>
      </c>
      <c r="B16" s="2" t="s">
        <v>28</v>
      </c>
      <c r="C16" s="8" t="e">
        <f>COUNTIF(対戦表!#REF!,15)</f>
        <v>#REF!</v>
      </c>
      <c r="D16" s="8" t="e">
        <f>COUNTIF(対戦表!#REF!,15)</f>
        <v>#REF!</v>
      </c>
    </row>
    <row r="17" spans="1:4">
      <c r="A17" s="2">
        <v>16</v>
      </c>
      <c r="B17" s="2" t="s">
        <v>6</v>
      </c>
      <c r="C17" s="8" t="e">
        <f>COUNTIF(対戦表!#REF!,16)</f>
        <v>#REF!</v>
      </c>
      <c r="D17" s="8" t="e">
        <f>COUNTIF(対戦表!#REF!,16)</f>
        <v>#REF!</v>
      </c>
    </row>
    <row r="18" spans="1:4">
      <c r="A18" s="2">
        <v>17</v>
      </c>
      <c r="B18" s="2" t="s">
        <v>45</v>
      </c>
      <c r="C18" s="8" t="e">
        <f>COUNTIF(対戦表!#REF!,17)</f>
        <v>#REF!</v>
      </c>
      <c r="D18" s="8" t="e">
        <f>COUNTIF(対戦表!#REF!,17)</f>
        <v>#REF!</v>
      </c>
    </row>
    <row r="19" spans="1:4">
      <c r="A19" s="2">
        <v>18</v>
      </c>
      <c r="B19" s="2" t="s">
        <v>160</v>
      </c>
      <c r="C19" s="8" t="e">
        <f>COUNTIF(対戦表!#REF!,18)</f>
        <v>#REF!</v>
      </c>
      <c r="D19" s="8" t="e">
        <f>COUNTIF(対戦表!#REF!,18)</f>
        <v>#REF!</v>
      </c>
    </row>
    <row r="20" spans="1:4">
      <c r="A20" s="2">
        <v>19</v>
      </c>
      <c r="B20" s="2" t="s">
        <v>5</v>
      </c>
      <c r="C20" s="8" t="e">
        <f>COUNTIF(対戦表!#REF!,19)</f>
        <v>#REF!</v>
      </c>
      <c r="D20" s="8" t="e">
        <f>COUNTIF(対戦表!#REF!,19)</f>
        <v>#REF!</v>
      </c>
    </row>
    <row r="21" spans="1:4">
      <c r="A21" s="2">
        <v>20</v>
      </c>
      <c r="B21" s="2" t="s">
        <v>26</v>
      </c>
      <c r="C21" s="8" t="e">
        <f>COUNTIF(対戦表!#REF!,20)</f>
        <v>#REF!</v>
      </c>
      <c r="D21" s="8" t="e">
        <f>COUNTIF(対戦表!#REF!,20)</f>
        <v>#REF!</v>
      </c>
    </row>
    <row r="22" spans="1:4">
      <c r="A22" s="2">
        <v>21</v>
      </c>
      <c r="B22" s="2" t="s">
        <v>33</v>
      </c>
      <c r="C22" s="8" t="e">
        <f>COUNTIF(対戦表!#REF!,21)</f>
        <v>#REF!</v>
      </c>
      <c r="D22" s="8" t="e">
        <f>COUNTIF(対戦表!#REF!,21)</f>
        <v>#REF!</v>
      </c>
    </row>
    <row r="23" spans="1:4">
      <c r="A23" s="2">
        <v>22</v>
      </c>
      <c r="B23" s="2" t="s">
        <v>29</v>
      </c>
      <c r="C23" s="8" t="e">
        <f>COUNTIF(対戦表!#REF!,22)</f>
        <v>#REF!</v>
      </c>
      <c r="D23" s="8" t="e">
        <f>COUNTIF(対戦表!#REF!,22)</f>
        <v>#REF!</v>
      </c>
    </row>
    <row r="24" spans="1:4">
      <c r="A24" s="2">
        <v>23</v>
      </c>
      <c r="B24" s="2" t="s">
        <v>35</v>
      </c>
      <c r="C24" s="8" t="e">
        <f>COUNTIF(対戦表!#REF!,23)</f>
        <v>#REF!</v>
      </c>
      <c r="D24" s="8" t="e">
        <f>COUNTIF(対戦表!#REF!,23)</f>
        <v>#REF!</v>
      </c>
    </row>
    <row r="25" spans="1:4">
      <c r="A25" s="2">
        <v>24</v>
      </c>
      <c r="B25" s="2" t="s">
        <v>34</v>
      </c>
      <c r="C25" s="8" t="e">
        <f>COUNTIF(対戦表!#REF!,24)</f>
        <v>#REF!</v>
      </c>
      <c r="D25" s="8" t="e">
        <f>COUNTIF(対戦表!#REF!,24)</f>
        <v>#REF!</v>
      </c>
    </row>
    <row r="26" spans="1:4">
      <c r="A26" s="2">
        <v>25</v>
      </c>
      <c r="B26" s="2" t="s">
        <v>24</v>
      </c>
      <c r="C26" s="8" t="e">
        <f>COUNTIF(対戦表!#REF!,25)</f>
        <v>#REF!</v>
      </c>
      <c r="D26" s="8" t="e">
        <f>COUNTIF(対戦表!#REF!,25)</f>
        <v>#REF!</v>
      </c>
    </row>
    <row r="27" spans="1:4">
      <c r="A27" s="2">
        <v>26</v>
      </c>
      <c r="B27" s="2" t="s">
        <v>30</v>
      </c>
      <c r="C27" s="8" t="e">
        <f>COUNTIF(対戦表!#REF!,26)</f>
        <v>#REF!</v>
      </c>
      <c r="D27" s="8" t="e">
        <f>COUNTIF(対戦表!#REF!,26)</f>
        <v>#REF!</v>
      </c>
    </row>
    <row r="28" spans="1:4">
      <c r="A28" s="2">
        <v>27</v>
      </c>
      <c r="B28" s="2" t="s">
        <v>31</v>
      </c>
      <c r="C28" s="8" t="e">
        <f>COUNTIF(対戦表!#REF!,27)</f>
        <v>#REF!</v>
      </c>
      <c r="D28" s="8" t="e">
        <f>COUNTIF(対戦表!#REF!,27)</f>
        <v>#REF!</v>
      </c>
    </row>
    <row r="29" spans="1:4">
      <c r="A29" s="2">
        <v>28</v>
      </c>
      <c r="B29" s="2" t="s">
        <v>93</v>
      </c>
      <c r="C29" s="8" t="e">
        <f>COUNTIF(対戦表!#REF!,28)</f>
        <v>#REF!</v>
      </c>
      <c r="D29" s="8" t="e">
        <f>COUNTIF(対戦表!#REF!,28)</f>
        <v>#REF!</v>
      </c>
    </row>
    <row r="30" spans="1:4">
      <c r="A30" s="2">
        <v>29</v>
      </c>
      <c r="B30" s="2" t="s">
        <v>112</v>
      </c>
      <c r="C30" s="8" t="e">
        <f>COUNTIF(対戦表!#REF!,29)</f>
        <v>#REF!</v>
      </c>
      <c r="D30" s="8" t="e">
        <f>COUNTIF(対戦表!#REF!,29)</f>
        <v>#REF!</v>
      </c>
    </row>
    <row r="31" spans="1:4">
      <c r="A31" s="33">
        <v>30</v>
      </c>
      <c r="B31" s="33" t="s">
        <v>113</v>
      </c>
      <c r="C31" s="8" t="e">
        <f>COUNTIF(対戦表!#REF!,30)</f>
        <v>#REF!</v>
      </c>
      <c r="D31" s="8" t="e">
        <f>COUNTIF(対戦表!#REF!,30)</f>
        <v>#REF!</v>
      </c>
    </row>
    <row r="32" spans="1:4">
      <c r="A32" s="33">
        <v>31</v>
      </c>
      <c r="B32" s="33" t="s">
        <v>115</v>
      </c>
      <c r="C32" s="34" t="e">
        <f>COUNTIF(対戦表!#REF!,31)</f>
        <v>#REF!</v>
      </c>
      <c r="D32" s="34" t="e">
        <f>COUNTIF(対戦表!#REF!,31)</f>
        <v>#REF!</v>
      </c>
    </row>
    <row r="33" spans="1:4">
      <c r="A33" s="33">
        <v>32</v>
      </c>
      <c r="B33" s="33" t="s">
        <v>129</v>
      </c>
      <c r="C33" s="34" t="e">
        <f>COUNTIF(対戦表!#REF!,32)</f>
        <v>#REF!</v>
      </c>
      <c r="D33" s="34" t="e">
        <f>COUNTIF(対戦表!#REF!,32)</f>
        <v>#REF!</v>
      </c>
    </row>
    <row r="34" spans="1:4">
      <c r="A34" s="33">
        <v>33</v>
      </c>
      <c r="B34" s="33" t="s">
        <v>130</v>
      </c>
      <c r="C34" s="34" t="e">
        <f>COUNTIF(対戦表!#REF!,33)</f>
        <v>#REF!</v>
      </c>
      <c r="D34" s="34" t="e">
        <f>COUNTIF(対戦表!#REF!,33)</f>
        <v>#REF!</v>
      </c>
    </row>
    <row r="35" spans="1:4" ht="14.25" thickBot="1">
      <c r="A35" s="41">
        <v>34</v>
      </c>
      <c r="B35" s="41" t="s">
        <v>143</v>
      </c>
      <c r="C35" s="34" t="e">
        <f>COUNTIF(対戦表!#REF!,34)</f>
        <v>#REF!</v>
      </c>
      <c r="D35" s="34" t="e">
        <f>COUNTIF(対戦表!#REF!,34)</f>
        <v>#REF!</v>
      </c>
    </row>
    <row r="36" spans="1:4" ht="14.25" thickBot="1">
      <c r="A36" s="35" t="s">
        <v>111</v>
      </c>
      <c r="B36" s="36"/>
      <c r="C36" s="36" t="e">
        <f>SUM(C2:C35)</f>
        <v>#REF!</v>
      </c>
      <c r="D36" s="3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K27"/>
  <sheetViews>
    <sheetView showGridLines="0" topLeftCell="A8" workbookViewId="0">
      <selection activeCell="A28" sqref="A10:AK28"/>
    </sheetView>
  </sheetViews>
  <sheetFormatPr defaultRowHeight="13.5"/>
  <cols>
    <col min="1" max="38" width="2.75" customWidth="1"/>
    <col min="39" max="40" width="3.75" customWidth="1"/>
  </cols>
  <sheetData>
    <row r="11" spans="7:32">
      <c r="S11" s="1"/>
      <c r="T11" s="1"/>
    </row>
    <row r="12" spans="7:32">
      <c r="S12" s="1"/>
      <c r="T12" s="1"/>
    </row>
    <row r="13" spans="7:32">
      <c r="T13" s="26"/>
    </row>
    <row r="14" spans="7:32"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7:32">
      <c r="L15" s="26"/>
      <c r="M15" s="54"/>
      <c r="N15" s="54"/>
      <c r="O15" s="54"/>
      <c r="P15" s="22"/>
      <c r="Q15" s="22"/>
      <c r="R15" s="22"/>
      <c r="S15" s="22"/>
      <c r="T15" s="22"/>
      <c r="U15" s="22"/>
      <c r="V15" s="22"/>
      <c r="W15" s="22"/>
      <c r="X15" s="54"/>
      <c r="Y15" s="54"/>
      <c r="Z15" s="54"/>
      <c r="AA15" s="53"/>
    </row>
    <row r="16" spans="7:32">
      <c r="G16" s="7"/>
      <c r="H16" s="24"/>
      <c r="I16" s="24"/>
      <c r="J16" s="24"/>
      <c r="K16" s="24"/>
      <c r="L16" s="22"/>
      <c r="M16" s="22"/>
      <c r="N16" s="22"/>
      <c r="O16" s="56"/>
      <c r="P16" s="55"/>
      <c r="Q16" s="22"/>
      <c r="R16" s="22"/>
      <c r="S16" s="22"/>
      <c r="T16" s="22"/>
      <c r="U16" s="22"/>
      <c r="V16" s="22"/>
      <c r="W16" s="56"/>
      <c r="X16" s="55"/>
      <c r="Y16" s="22"/>
      <c r="Z16" s="22"/>
      <c r="AA16" s="22"/>
      <c r="AB16" s="24"/>
      <c r="AC16" s="24"/>
      <c r="AD16" s="24"/>
      <c r="AE16" s="24"/>
      <c r="AF16" s="25"/>
    </row>
    <row r="17" spans="1:37">
      <c r="G17" s="26"/>
      <c r="H17" s="54"/>
      <c r="I17" s="54"/>
      <c r="J17" s="22"/>
      <c r="K17" s="22"/>
      <c r="L17" s="22"/>
      <c r="M17" s="22"/>
      <c r="N17" s="54"/>
      <c r="O17" s="53"/>
      <c r="X17" s="26"/>
      <c r="Y17" s="54"/>
      <c r="Z17" s="22"/>
      <c r="AA17" s="22"/>
      <c r="AB17" s="22"/>
      <c r="AC17" s="22"/>
      <c r="AD17" s="54"/>
      <c r="AE17" s="54"/>
      <c r="AF17" s="53"/>
    </row>
    <row r="18" spans="1:37">
      <c r="E18" s="7"/>
      <c r="F18" s="24"/>
      <c r="G18" s="22"/>
      <c r="H18" s="22"/>
      <c r="I18" s="56"/>
      <c r="J18" s="55"/>
      <c r="K18" s="22"/>
      <c r="L18" s="22"/>
      <c r="M18" s="56"/>
      <c r="N18" s="55"/>
      <c r="O18" s="22"/>
      <c r="P18" s="24"/>
      <c r="Q18" s="25"/>
      <c r="V18" s="7"/>
      <c r="W18" s="24"/>
      <c r="X18" s="22"/>
      <c r="Y18" s="56"/>
      <c r="Z18" s="55"/>
      <c r="AA18" s="22"/>
      <c r="AB18" s="22"/>
      <c r="AC18" s="56"/>
      <c r="AD18" s="55"/>
      <c r="AE18" s="22"/>
      <c r="AF18" s="22"/>
      <c r="AG18" s="24"/>
      <c r="AH18" s="25"/>
    </row>
    <row r="19" spans="1:37">
      <c r="E19" s="26"/>
      <c r="F19" s="22"/>
      <c r="G19" s="22"/>
      <c r="H19" s="22"/>
      <c r="I19" s="53"/>
      <c r="N19" s="26"/>
      <c r="O19" s="22"/>
      <c r="P19" s="22"/>
      <c r="Q19" s="53"/>
      <c r="V19" s="26"/>
      <c r="W19" s="22"/>
      <c r="X19" s="22"/>
      <c r="Y19" s="53"/>
      <c r="AD19" s="26"/>
      <c r="AE19" s="22"/>
      <c r="AF19" s="22"/>
      <c r="AG19" s="22"/>
      <c r="AH19" s="53"/>
    </row>
    <row r="20" spans="1:37" ht="14.25" thickBot="1">
      <c r="C20" s="7"/>
      <c r="D20" s="24"/>
      <c r="E20" s="358">
        <v>1</v>
      </c>
      <c r="F20">
        <v>0</v>
      </c>
      <c r="I20" s="55"/>
      <c r="J20" s="25"/>
      <c r="M20" s="7"/>
      <c r="N20" s="56"/>
      <c r="Q20" s="55"/>
      <c r="R20" s="25"/>
      <c r="U20" s="7"/>
      <c r="V20" s="56"/>
      <c r="Y20" s="55"/>
      <c r="Z20" s="25"/>
      <c r="AC20" s="7"/>
      <c r="AD20" s="56"/>
      <c r="AG20">
        <v>0</v>
      </c>
      <c r="AH20" s="355">
        <v>1</v>
      </c>
      <c r="AI20" s="24"/>
      <c r="AJ20" s="25"/>
    </row>
    <row r="21" spans="1:37" ht="14.25" thickTop="1">
      <c r="C21" s="55"/>
      <c r="D21" s="22"/>
      <c r="E21" s="357"/>
      <c r="F21" s="25"/>
      <c r="G21" s="22"/>
      <c r="H21" s="22"/>
      <c r="I21" s="55"/>
      <c r="J21" s="56"/>
      <c r="K21" s="22"/>
      <c r="M21" s="55"/>
      <c r="N21" s="56"/>
      <c r="O21" s="22"/>
      <c r="Q21" s="55"/>
      <c r="R21" s="56"/>
      <c r="S21" s="22"/>
      <c r="U21" s="55"/>
      <c r="V21" s="56"/>
      <c r="W21" s="22"/>
      <c r="Y21" s="55"/>
      <c r="Z21" s="56"/>
      <c r="AA21" s="22"/>
      <c r="AC21" s="55"/>
      <c r="AD21" s="56"/>
      <c r="AE21" s="22"/>
      <c r="AG21" s="7"/>
      <c r="AH21" s="22"/>
      <c r="AI21" s="356"/>
      <c r="AJ21" s="56"/>
    </row>
    <row r="22" spans="1:37">
      <c r="A22" s="22"/>
      <c r="B22" s="4" t="s">
        <v>169</v>
      </c>
      <c r="C22" s="4"/>
      <c r="D22" s="57"/>
      <c r="E22" s="356"/>
      <c r="F22" s="56"/>
      <c r="G22" s="22"/>
      <c r="H22" s="4" t="s">
        <v>172</v>
      </c>
      <c r="I22" s="4"/>
      <c r="J22" s="4" t="s">
        <v>173</v>
      </c>
      <c r="K22" s="4"/>
      <c r="L22" s="4" t="s">
        <v>174</v>
      </c>
      <c r="M22" s="4"/>
      <c r="N22" s="4" t="s">
        <v>175</v>
      </c>
      <c r="O22" s="4"/>
      <c r="P22" s="4" t="s">
        <v>176</v>
      </c>
      <c r="Q22" s="4"/>
      <c r="R22" s="4" t="s">
        <v>177</v>
      </c>
      <c r="S22" s="4"/>
      <c r="T22" s="4" t="s">
        <v>178</v>
      </c>
      <c r="U22" s="4"/>
      <c r="V22" s="4" t="s">
        <v>179</v>
      </c>
      <c r="W22" s="4"/>
      <c r="X22" s="4" t="s">
        <v>384</v>
      </c>
      <c r="Y22" s="4"/>
      <c r="Z22" s="4" t="s">
        <v>180</v>
      </c>
      <c r="AA22" s="4"/>
      <c r="AB22" s="4" t="s">
        <v>181</v>
      </c>
      <c r="AC22" s="4"/>
      <c r="AD22" s="4" t="s">
        <v>182</v>
      </c>
      <c r="AE22" s="4"/>
      <c r="AG22" s="55"/>
      <c r="AH22" s="22"/>
      <c r="AI22" s="356"/>
      <c r="AJ22" s="4" t="s">
        <v>185</v>
      </c>
      <c r="AK22" s="4"/>
    </row>
    <row r="23" spans="1:37" ht="13.5" customHeight="1">
      <c r="B23" s="347" t="s">
        <v>404</v>
      </c>
      <c r="C23" s="4"/>
      <c r="D23" s="4" t="s">
        <v>170</v>
      </c>
      <c r="E23" s="4"/>
      <c r="F23" s="1" t="s">
        <v>171</v>
      </c>
      <c r="G23" s="1"/>
      <c r="H23" s="348" t="s">
        <v>402</v>
      </c>
      <c r="I23" s="4"/>
      <c r="J23" s="347" t="s">
        <v>371</v>
      </c>
      <c r="K23" s="4"/>
      <c r="L23" s="347" t="s">
        <v>376</v>
      </c>
      <c r="M23" s="4"/>
      <c r="N23" s="347" t="s">
        <v>375</v>
      </c>
      <c r="O23" s="4"/>
      <c r="P23" s="347" t="s">
        <v>390</v>
      </c>
      <c r="Q23" s="4"/>
      <c r="R23" s="347" t="s">
        <v>380</v>
      </c>
      <c r="S23" s="4"/>
      <c r="T23" s="347" t="s">
        <v>373</v>
      </c>
      <c r="U23" s="4"/>
      <c r="V23" s="347" t="s">
        <v>374</v>
      </c>
      <c r="W23" s="4"/>
      <c r="X23" s="347" t="s">
        <v>387</v>
      </c>
      <c r="Y23" s="4"/>
      <c r="Z23" s="347" t="s">
        <v>377</v>
      </c>
      <c r="AA23" s="4"/>
      <c r="AB23" s="347" t="s">
        <v>405</v>
      </c>
      <c r="AC23" s="4"/>
      <c r="AD23" s="347" t="s">
        <v>381</v>
      </c>
      <c r="AE23" s="4"/>
      <c r="AF23" s="1" t="s">
        <v>183</v>
      </c>
      <c r="AG23" s="1"/>
      <c r="AH23" s="1" t="s">
        <v>184</v>
      </c>
      <c r="AI23" s="1"/>
      <c r="AJ23" s="347" t="s">
        <v>379</v>
      </c>
      <c r="AK23" s="4"/>
    </row>
    <row r="24" spans="1:37">
      <c r="B24" s="347"/>
      <c r="C24" s="57"/>
      <c r="D24" s="347" t="s">
        <v>388</v>
      </c>
      <c r="E24" s="4"/>
      <c r="F24" s="347" t="s">
        <v>403</v>
      </c>
      <c r="G24" s="1"/>
      <c r="H24" s="348"/>
      <c r="J24" s="347"/>
      <c r="L24" s="347"/>
      <c r="N24" s="347"/>
      <c r="P24" s="347"/>
      <c r="R24" s="347"/>
      <c r="T24" s="347"/>
      <c r="V24" s="347"/>
      <c r="X24" s="347"/>
      <c r="Z24" s="347"/>
      <c r="AB24" s="347"/>
      <c r="AD24" s="347"/>
      <c r="AE24" s="27"/>
      <c r="AF24" s="347" t="s">
        <v>406</v>
      </c>
      <c r="AG24" s="1"/>
      <c r="AH24" s="347" t="s">
        <v>372</v>
      </c>
      <c r="AI24" s="1"/>
      <c r="AJ24" s="347"/>
    </row>
    <row r="25" spans="1:37">
      <c r="B25" s="347"/>
      <c r="D25" s="347"/>
      <c r="F25" s="347"/>
      <c r="H25" s="348"/>
      <c r="J25" s="347"/>
      <c r="L25" s="347"/>
      <c r="N25" s="347"/>
      <c r="P25" s="347"/>
      <c r="R25" s="347"/>
      <c r="T25" s="347"/>
      <c r="V25" s="347"/>
      <c r="X25" s="347"/>
      <c r="Z25" s="347"/>
      <c r="AB25" s="347"/>
      <c r="AD25" s="347"/>
      <c r="AF25" s="347"/>
      <c r="AH25" s="347"/>
      <c r="AJ25" s="347"/>
    </row>
    <row r="26" spans="1:37">
      <c r="B26" s="347"/>
      <c r="D26" s="347"/>
      <c r="F26" s="347"/>
      <c r="H26" s="348"/>
      <c r="J26" s="347"/>
      <c r="L26" s="347"/>
      <c r="N26" s="347"/>
      <c r="P26" s="347"/>
      <c r="R26" s="347"/>
      <c r="T26" s="347"/>
      <c r="V26" s="347"/>
      <c r="X26" s="347"/>
      <c r="Z26" s="347"/>
      <c r="AB26" s="347"/>
      <c r="AD26" s="347"/>
      <c r="AF26" s="347"/>
      <c r="AH26" s="347"/>
      <c r="AJ26" s="347"/>
    </row>
    <row r="27" spans="1:37">
      <c r="D27" s="347"/>
      <c r="F27" s="347"/>
      <c r="AF27" s="347"/>
      <c r="AH27" s="347"/>
    </row>
  </sheetData>
  <mergeCells count="18">
    <mergeCell ref="AJ23:AJ26"/>
    <mergeCell ref="R23:R26"/>
    <mergeCell ref="T23:T26"/>
    <mergeCell ref="V23:V26"/>
    <mergeCell ref="X23:X26"/>
    <mergeCell ref="Z23:Z26"/>
    <mergeCell ref="AB23:AB26"/>
    <mergeCell ref="J23:J26"/>
    <mergeCell ref="AH24:AH27"/>
    <mergeCell ref="B23:B26"/>
    <mergeCell ref="D24:D27"/>
    <mergeCell ref="F24:F27"/>
    <mergeCell ref="H23:H26"/>
    <mergeCell ref="L23:L26"/>
    <mergeCell ref="N23:N26"/>
    <mergeCell ref="P23:P26"/>
    <mergeCell ref="AD23:AD26"/>
    <mergeCell ref="AF24:AF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Sheet3</vt:lpstr>
      <vt:lpstr>Sheet1</vt:lpstr>
      <vt:lpstr>学校名!Print_Area</vt:lpstr>
      <vt:lpstr>対戦表!Print_Area</vt:lpstr>
      <vt:lpstr>Sheet3!トーナメント表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2016-04-30T06:48:22Z</cp:lastPrinted>
  <dcterms:created xsi:type="dcterms:W3CDTF">2004-12-15T11:55:44Z</dcterms:created>
  <dcterms:modified xsi:type="dcterms:W3CDTF">2016-05-03T04:48:25Z</dcterms:modified>
</cp:coreProperties>
</file>